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D:\TSUJI環境ツール最新版\"/>
    </mc:Choice>
  </mc:AlternateContent>
  <xr:revisionPtr revIDLastSave="0" documentId="13_ncr:1_{57388579-07D4-4D7F-877A-392C04EACF15}" xr6:coauthVersionLast="47" xr6:coauthVersionMax="47" xr10:uidLastSave="{00000000-0000-0000-0000-000000000000}"/>
  <bookViews>
    <workbookView xWindow="28690" yWindow="-110" windowWidth="38620" windowHeight="21100" tabRatio="832" xr2:uid="{3CA92349-CFE7-49F7-A703-9354D495C4EE}"/>
  </bookViews>
  <sheets>
    <sheet name="⑫防露計算" sheetId="38" r:id="rId1"/>
    <sheet name="素材データ" sheetId="13" r:id="rId2"/>
  </sheets>
  <definedNames>
    <definedName name="_xlnm.Print_Area" localSheetId="0">⑫防露計算!$A$3:$O$265</definedName>
    <definedName name="ドア">#REF!</definedName>
    <definedName name="愛知県">#REF!</definedName>
    <definedName name="愛媛県">#REF!</definedName>
    <definedName name="茨城県">#REF!</definedName>
    <definedName name="岡山県">#REF!</definedName>
    <definedName name="沖縄県">#REF!</definedName>
    <definedName name="屋根">#REF!</definedName>
    <definedName name="外壁">#REF!</definedName>
    <definedName name="岩手県">#REF!</definedName>
    <definedName name="岐阜県">#REF!</definedName>
    <definedName name="宮崎県">#REF!</definedName>
    <definedName name="宮城県">#REF!</definedName>
    <definedName name="京都府">#REF!</definedName>
    <definedName name="金属製ハニカムフラッシュ構造">#REF!</definedName>
    <definedName name="金属製フラッシュ構造">#REF!</definedName>
    <definedName name="金属製高断熱フラッシュ構造">#REF!</definedName>
    <definedName name="金属製断熱フラッシュ構造">#REF!</definedName>
    <definedName name="金属製熱遮断構造">#REF!</definedName>
    <definedName name="金属製又はその他">#REF!</definedName>
    <definedName name="金属製又はその他構造">#REF!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床">#REF!</definedName>
    <definedName name="新潟県">#REF!</definedName>
    <definedName name="神奈川県">#REF!</definedName>
    <definedName name="青森県">#REF!</definedName>
    <definedName name="静岡県">#REF!</definedName>
    <definedName name="石川県">#REF!</definedName>
    <definedName name="千葉県">#REF!</definedName>
    <definedName name="窓">#REF!</definedName>
    <definedName name="大阪府">#REF!</definedName>
    <definedName name="大分県">#REF!</definedName>
    <definedName name="単純開口">#REF!</definedName>
    <definedName name="長崎県">#REF!</definedName>
    <definedName name="長野県">#REF!</definedName>
    <definedName name="鳥取県">#REF!</definedName>
    <definedName name="土間">#REF!</definedName>
    <definedName name="島根県">#REF!</definedName>
    <definedName name="東京都">#REF!</definedName>
    <definedName name="徳島県">#REF!</definedName>
    <definedName name="栃木県">#REF!</definedName>
    <definedName name="奈良県">#REF!</definedName>
    <definedName name="二重窓">#REF!</definedName>
    <definedName name="富山県">#REF!</definedName>
    <definedName name="福井県">#REF!</definedName>
    <definedName name="福岡県">#REF!</definedName>
    <definedName name="福島県">#REF!</definedName>
    <definedName name="複合材料製">#REF!</definedName>
    <definedName name="兵庫県">#REF!</definedName>
    <definedName name="北海道">#REF!</definedName>
    <definedName name="和歌山県">#REF!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5" i="13" l="1"/>
  <c r="M286" i="13"/>
  <c r="M287" i="13"/>
  <c r="M288" i="13"/>
  <c r="M289" i="13"/>
  <c r="M290" i="13"/>
  <c r="M291" i="13"/>
  <c r="M292" i="13"/>
  <c r="M293" i="13"/>
  <c r="M294" i="13"/>
  <c r="M295" i="13"/>
  <c r="M296" i="13"/>
  <c r="M297" i="13"/>
  <c r="M298" i="13"/>
  <c r="M299" i="13"/>
  <c r="M283" i="13"/>
  <c r="M284" i="13"/>
  <c r="AC285" i="13"/>
  <c r="O337" i="13"/>
  <c r="W337" i="13" s="1"/>
  <c r="K337" i="13"/>
  <c r="M337" i="13" s="1"/>
  <c r="I337" i="13"/>
  <c r="F337" i="13"/>
  <c r="AB336" i="13"/>
  <c r="O336" i="13"/>
  <c r="W336" i="13" s="1"/>
  <c r="K336" i="13"/>
  <c r="M336" i="13" s="1"/>
  <c r="I336" i="13"/>
  <c r="F336" i="13"/>
  <c r="D61" i="38" l="1"/>
  <c r="E61" i="38"/>
  <c r="J47" i="38" l="1"/>
  <c r="N47" i="38"/>
  <c r="J48" i="38"/>
  <c r="N48" i="38"/>
  <c r="D52" i="38"/>
  <c r="G52" i="38"/>
  <c r="H52" i="38"/>
  <c r="D53" i="38"/>
  <c r="G53" i="38" s="1"/>
  <c r="E53" i="38"/>
  <c r="H53" i="38" s="1"/>
  <c r="D55" i="38"/>
  <c r="G55" i="38" s="1"/>
  <c r="E55" i="38"/>
  <c r="H55" i="38" s="1"/>
  <c r="D57" i="38"/>
  <c r="G57" i="38" s="1"/>
  <c r="E57" i="38"/>
  <c r="H57" i="38" s="1"/>
  <c r="D59" i="38"/>
  <c r="G59" i="38" s="1"/>
  <c r="E59" i="38"/>
  <c r="H59" i="38" s="1"/>
  <c r="G61" i="38"/>
  <c r="H61" i="38"/>
  <c r="D63" i="38"/>
  <c r="G63" i="38" s="1"/>
  <c r="E63" i="38"/>
  <c r="H63" i="38" s="1"/>
  <c r="D65" i="38"/>
  <c r="G65" i="38" s="1"/>
  <c r="E65" i="38"/>
  <c r="H65" i="38" s="1"/>
  <c r="D67" i="38"/>
  <c r="G67" i="38" s="1"/>
  <c r="E67" i="38"/>
  <c r="H67" i="38" s="1"/>
  <c r="D69" i="38"/>
  <c r="G69" i="38" s="1"/>
  <c r="E69" i="38"/>
  <c r="H69" i="38" s="1"/>
  <c r="D71" i="38"/>
  <c r="G71" i="38" s="1"/>
  <c r="E71" i="38"/>
  <c r="H71" i="38" s="1"/>
  <c r="D73" i="38"/>
  <c r="G73" i="38" s="1"/>
  <c r="E73" i="38"/>
  <c r="H73" i="38" s="1"/>
  <c r="D75" i="38"/>
  <c r="G75" i="38" s="1"/>
  <c r="E75" i="38"/>
  <c r="H75" i="38" s="1"/>
  <c r="D77" i="38"/>
  <c r="G77" i="38"/>
  <c r="H77" i="38"/>
  <c r="D88" i="38"/>
  <c r="D89" i="38"/>
  <c r="N49" i="38" l="1"/>
  <c r="B82" i="38"/>
  <c r="F78" i="38"/>
  <c r="F80" i="38" s="1"/>
  <c r="D82" i="38" s="1"/>
  <c r="F82" i="38" s="1"/>
  <c r="F83" i="38"/>
  <c r="F85" i="38" s="1"/>
  <c r="J49" i="38"/>
  <c r="I66" i="38" l="1"/>
  <c r="K66" i="38" s="1"/>
  <c r="I56" i="38"/>
  <c r="K56" i="38" s="1"/>
  <c r="I72" i="38"/>
  <c r="K72" i="38" s="1"/>
  <c r="I62" i="38"/>
  <c r="K62" i="38" s="1"/>
  <c r="I52" i="38"/>
  <c r="O52" i="38" s="1"/>
  <c r="I68" i="38"/>
  <c r="K68" i="38" s="1"/>
  <c r="I58" i="38"/>
  <c r="O58" i="38" s="1"/>
  <c r="I76" i="38"/>
  <c r="O76" i="38" s="1"/>
  <c r="I74" i="38"/>
  <c r="K74" i="38" s="1"/>
  <c r="I64" i="38"/>
  <c r="O64" i="38" s="1"/>
  <c r="I54" i="38"/>
  <c r="O54" i="38" s="1"/>
  <c r="I70" i="38"/>
  <c r="O70" i="38" s="1"/>
  <c r="I60" i="38"/>
  <c r="K60" i="38" s="1"/>
  <c r="B87" i="38"/>
  <c r="D87" i="38" s="1"/>
  <c r="F87" i="38" s="1"/>
  <c r="F89" i="38"/>
  <c r="L66" i="38"/>
  <c r="L56" i="38"/>
  <c r="L74" i="38"/>
  <c r="L62" i="38"/>
  <c r="L52" i="38"/>
  <c r="L70" i="38"/>
  <c r="L68" i="38"/>
  <c r="L58" i="38"/>
  <c r="L76" i="38"/>
  <c r="L64" i="38"/>
  <c r="L54" i="38"/>
  <c r="L72" i="38"/>
  <c r="L60" i="38"/>
  <c r="O56" i="38" l="1"/>
  <c r="O66" i="38"/>
  <c r="O72" i="38"/>
  <c r="O62" i="38"/>
  <c r="K76" i="38"/>
  <c r="M76" i="38" s="1"/>
  <c r="K54" i="38"/>
  <c r="N54" i="38" s="1"/>
  <c r="K70" i="38"/>
  <c r="M70" i="38" s="1"/>
  <c r="K64" i="38"/>
  <c r="M64" i="38" s="1"/>
  <c r="O74" i="38"/>
  <c r="O68" i="38"/>
  <c r="K58" i="38"/>
  <c r="N58" i="38" s="1"/>
  <c r="K52" i="38"/>
  <c r="N52" i="38" s="1"/>
  <c r="O60" i="38"/>
  <c r="J62" i="38"/>
  <c r="M62" i="38"/>
  <c r="N62" i="38"/>
  <c r="J70" i="38"/>
  <c r="J52" i="38"/>
  <c r="J74" i="38"/>
  <c r="M74" i="38"/>
  <c r="N74" i="38"/>
  <c r="M56" i="38"/>
  <c r="J56" i="38"/>
  <c r="N56" i="38"/>
  <c r="M66" i="38"/>
  <c r="N66" i="38"/>
  <c r="J66" i="38"/>
  <c r="M60" i="38"/>
  <c r="J60" i="38"/>
  <c r="N60" i="38"/>
  <c r="J54" i="38"/>
  <c r="J76" i="38"/>
  <c r="M72" i="38"/>
  <c r="J72" i="38"/>
  <c r="N72" i="38"/>
  <c r="J64" i="38"/>
  <c r="J58" i="38"/>
  <c r="M68" i="38"/>
  <c r="N68" i="38"/>
  <c r="J68" i="38"/>
  <c r="K90" i="13"/>
  <c r="N3" i="38"/>
  <c r="N4" i="38"/>
  <c r="J3" i="38"/>
  <c r="J4" i="38"/>
  <c r="B38" i="38" l="1"/>
  <c r="N64" i="38"/>
  <c r="N76" i="38"/>
  <c r="N70" i="38"/>
  <c r="M54" i="38"/>
  <c r="M58" i="38"/>
  <c r="M52" i="38"/>
  <c r="M278" i="13"/>
  <c r="M279" i="13" l="1"/>
  <c r="M280" i="13"/>
  <c r="M301" i="13"/>
  <c r="M302" i="13"/>
  <c r="AC302" i="13"/>
  <c r="AC301" i="13"/>
  <c r="M300" i="13"/>
  <c r="AC300" i="13"/>
  <c r="AC299" i="13"/>
  <c r="Q9" i="13"/>
  <c r="X11" i="13"/>
  <c r="O31" i="13"/>
  <c r="X31" i="13" s="1"/>
  <c r="O81" i="13"/>
  <c r="X81" i="13" s="1"/>
  <c r="AC134" i="13"/>
  <c r="AB134" i="13"/>
  <c r="W134" i="13"/>
  <c r="M134" i="13"/>
  <c r="I134" i="13"/>
  <c r="D134" i="13"/>
  <c r="K134" i="13" s="1"/>
  <c r="Y134" i="13" s="1"/>
  <c r="Z134" i="13" s="1"/>
  <c r="K173" i="13"/>
  <c r="D140" i="13"/>
  <c r="F140" i="13" s="1"/>
  <c r="M140" i="13"/>
  <c r="I140" i="13"/>
  <c r="AB140" i="13"/>
  <c r="W140" i="13"/>
  <c r="F135" i="13"/>
  <c r="M135" i="13" s="1"/>
  <c r="M42" i="13"/>
  <c r="I42" i="13"/>
  <c r="M41" i="13"/>
  <c r="I41" i="13"/>
  <c r="M40" i="13"/>
  <c r="I40" i="13"/>
  <c r="I37" i="13"/>
  <c r="F95" i="13"/>
  <c r="M95" i="13" s="1"/>
  <c r="K95" i="13"/>
  <c r="Y95" i="13" s="1"/>
  <c r="Z95" i="13" s="1"/>
  <c r="I95" i="13"/>
  <c r="W95" i="13"/>
  <c r="F94" i="13"/>
  <c r="M94" i="13" s="1"/>
  <c r="K94" i="13"/>
  <c r="Y94" i="13" s="1"/>
  <c r="Z94" i="13" s="1"/>
  <c r="I94" i="13"/>
  <c r="W94" i="13"/>
  <c r="AC351" i="13"/>
  <c r="Y351" i="13"/>
  <c r="Z351" i="13" s="1"/>
  <c r="I48" i="13"/>
  <c r="I49" i="13"/>
  <c r="I50" i="13"/>
  <c r="I51" i="13"/>
  <c r="D50" i="13"/>
  <c r="F50" i="13" s="1"/>
  <c r="M50" i="13" s="1"/>
  <c r="K31" i="13"/>
  <c r="Y31" i="13" s="1"/>
  <c r="Z31" i="13" s="1"/>
  <c r="F31" i="13"/>
  <c r="M31" i="13" s="1"/>
  <c r="AC89" i="13"/>
  <c r="F89" i="13"/>
  <c r="M89" i="13" s="1"/>
  <c r="K89" i="13"/>
  <c r="I89" i="13"/>
  <c r="W89" i="13"/>
  <c r="N91" i="38"/>
  <c r="F173" i="13"/>
  <c r="I173" i="13"/>
  <c r="AB173" i="13"/>
  <c r="W173" i="13"/>
  <c r="K142" i="13"/>
  <c r="F142" i="13"/>
  <c r="M142" i="13" s="1"/>
  <c r="AB142" i="13"/>
  <c r="I142" i="13"/>
  <c r="W142" i="13"/>
  <c r="I30" i="13"/>
  <c r="I29" i="13"/>
  <c r="I93" i="13"/>
  <c r="K93" i="13"/>
  <c r="Y93" i="13" s="1"/>
  <c r="Z93" i="13" s="1"/>
  <c r="I92" i="13"/>
  <c r="K92" i="13"/>
  <c r="Y92" i="13" s="1"/>
  <c r="Z92" i="13" s="1"/>
  <c r="F92" i="13"/>
  <c r="M92" i="13" s="1"/>
  <c r="AC92" i="13"/>
  <c r="F93" i="13"/>
  <c r="M93" i="13" s="1"/>
  <c r="W93" i="13"/>
  <c r="W92" i="13"/>
  <c r="I31" i="13"/>
  <c r="AB71" i="13"/>
  <c r="AB70" i="13"/>
  <c r="AB69" i="13"/>
  <c r="AB68" i="13"/>
  <c r="M67" i="13"/>
  <c r="K67" i="13"/>
  <c r="Y67" i="13" s="1"/>
  <c r="Z67" i="13" s="1"/>
  <c r="I67" i="13"/>
  <c r="M66" i="13"/>
  <c r="K66" i="13"/>
  <c r="I66" i="13"/>
  <c r="M65" i="13"/>
  <c r="K65" i="13"/>
  <c r="I65" i="13"/>
  <c r="M64" i="13"/>
  <c r="K64" i="13"/>
  <c r="I64" i="13"/>
  <c r="AB66" i="13"/>
  <c r="AB65" i="13"/>
  <c r="AB64" i="13"/>
  <c r="AB73" i="13"/>
  <c r="AB60" i="13"/>
  <c r="AB49" i="13"/>
  <c r="AB48" i="13"/>
  <c r="AB50" i="13"/>
  <c r="AB29" i="13"/>
  <c r="AB156" i="13"/>
  <c r="W156" i="13"/>
  <c r="K344" i="13"/>
  <c r="Y344" i="13" s="1"/>
  <c r="Z344" i="13" s="1"/>
  <c r="AD344" i="13"/>
  <c r="AC344" i="13"/>
  <c r="AB344" i="13"/>
  <c r="W344" i="13"/>
  <c r="D45" i="38"/>
  <c r="D44" i="38"/>
  <c r="D133" i="38"/>
  <c r="D132" i="38"/>
  <c r="D177" i="38"/>
  <c r="D176" i="38"/>
  <c r="D221" i="38"/>
  <c r="D220" i="38"/>
  <c r="H33" i="38"/>
  <c r="G33" i="38"/>
  <c r="D33" i="38"/>
  <c r="E31" i="38"/>
  <c r="H31" i="38" s="1"/>
  <c r="D31" i="38"/>
  <c r="G31" i="38" s="1"/>
  <c r="E29" i="38"/>
  <c r="H29" i="38" s="1"/>
  <c r="D29" i="38"/>
  <c r="G29" i="38" s="1"/>
  <c r="E27" i="38"/>
  <c r="H27" i="38" s="1"/>
  <c r="D27" i="38"/>
  <c r="G27" i="38" s="1"/>
  <c r="E25" i="38"/>
  <c r="H25" i="38" s="1"/>
  <c r="D25" i="38"/>
  <c r="G25" i="38" s="1"/>
  <c r="E23" i="38"/>
  <c r="H23" i="38" s="1"/>
  <c r="D23" i="38"/>
  <c r="G23" i="38" s="1"/>
  <c r="E21" i="38"/>
  <c r="H21" i="38" s="1"/>
  <c r="D21" i="38"/>
  <c r="G21" i="38" s="1"/>
  <c r="D19" i="38"/>
  <c r="G19" i="38" s="1"/>
  <c r="E17" i="38"/>
  <c r="D17" i="38"/>
  <c r="G17" i="38" s="1"/>
  <c r="E15" i="38"/>
  <c r="H15" i="38" s="1"/>
  <c r="D15" i="38"/>
  <c r="G15" i="38" s="1"/>
  <c r="D13" i="38"/>
  <c r="G13" i="38" s="1"/>
  <c r="E11" i="38"/>
  <c r="H11" i="38" s="1"/>
  <c r="D11" i="38"/>
  <c r="G11" i="38" s="1"/>
  <c r="E9" i="38"/>
  <c r="H9" i="38" s="1"/>
  <c r="D9" i="38"/>
  <c r="G9" i="38" s="1"/>
  <c r="H8" i="38"/>
  <c r="G8" i="38"/>
  <c r="D8" i="38"/>
  <c r="AE20" i="38"/>
  <c r="AE5" i="38"/>
  <c r="H121" i="38"/>
  <c r="G121" i="38"/>
  <c r="D121" i="38"/>
  <c r="E119" i="38"/>
  <c r="H119" i="38" s="1"/>
  <c r="D119" i="38"/>
  <c r="G119" i="38" s="1"/>
  <c r="E117" i="38"/>
  <c r="H117" i="38" s="1"/>
  <c r="D117" i="38"/>
  <c r="G117" i="38" s="1"/>
  <c r="E115" i="38"/>
  <c r="H115" i="38" s="1"/>
  <c r="D115" i="38"/>
  <c r="G115" i="38" s="1"/>
  <c r="E113" i="38"/>
  <c r="H113" i="38" s="1"/>
  <c r="D113" i="38"/>
  <c r="G113" i="38" s="1"/>
  <c r="E111" i="38"/>
  <c r="H111" i="38" s="1"/>
  <c r="D111" i="38"/>
  <c r="G111" i="38" s="1"/>
  <c r="E109" i="38"/>
  <c r="H109" i="38" s="1"/>
  <c r="D109" i="38"/>
  <c r="G109" i="38" s="1"/>
  <c r="E107" i="38"/>
  <c r="H107" i="38" s="1"/>
  <c r="D107" i="38"/>
  <c r="G107" i="38" s="1"/>
  <c r="E105" i="38"/>
  <c r="H105" i="38" s="1"/>
  <c r="D105" i="38"/>
  <c r="G105" i="38" s="1"/>
  <c r="E103" i="38"/>
  <c r="H103" i="38" s="1"/>
  <c r="D103" i="38"/>
  <c r="G103" i="38" s="1"/>
  <c r="D101" i="38"/>
  <c r="G101" i="38" s="1"/>
  <c r="E99" i="38"/>
  <c r="H99" i="38" s="1"/>
  <c r="D99" i="38"/>
  <c r="G99" i="38" s="1"/>
  <c r="E97" i="38"/>
  <c r="H97" i="38" s="1"/>
  <c r="D97" i="38"/>
  <c r="G97" i="38" s="1"/>
  <c r="H96" i="38"/>
  <c r="G96" i="38"/>
  <c r="D96" i="38"/>
  <c r="N92" i="38"/>
  <c r="J92" i="38"/>
  <c r="J91" i="38"/>
  <c r="H165" i="38"/>
  <c r="G165" i="38"/>
  <c r="D165" i="38"/>
  <c r="E163" i="38"/>
  <c r="H163" i="38" s="1"/>
  <c r="D163" i="38"/>
  <c r="G163" i="38" s="1"/>
  <c r="E161" i="38"/>
  <c r="H161" i="38" s="1"/>
  <c r="D161" i="38"/>
  <c r="G161" i="38" s="1"/>
  <c r="E159" i="38"/>
  <c r="H159" i="38" s="1"/>
  <c r="D159" i="38"/>
  <c r="G159" i="38" s="1"/>
  <c r="E157" i="38"/>
  <c r="H157" i="38" s="1"/>
  <c r="D157" i="38"/>
  <c r="G157" i="38" s="1"/>
  <c r="E155" i="38"/>
  <c r="H155" i="38" s="1"/>
  <c r="D155" i="38"/>
  <c r="G155" i="38" s="1"/>
  <c r="E153" i="38"/>
  <c r="H153" i="38" s="1"/>
  <c r="D153" i="38"/>
  <c r="G153" i="38" s="1"/>
  <c r="E151" i="38"/>
  <c r="H151" i="38" s="1"/>
  <c r="D151" i="38"/>
  <c r="G151" i="38" s="1"/>
  <c r="E149" i="38"/>
  <c r="H149" i="38" s="1"/>
  <c r="D149" i="38"/>
  <c r="G149" i="38" s="1"/>
  <c r="E147" i="38"/>
  <c r="H147" i="38" s="1"/>
  <c r="D147" i="38"/>
  <c r="G147" i="38" s="1"/>
  <c r="E145" i="38"/>
  <c r="H145" i="38" s="1"/>
  <c r="D145" i="38"/>
  <c r="G145" i="38" s="1"/>
  <c r="E143" i="38"/>
  <c r="H143" i="38" s="1"/>
  <c r="D143" i="38"/>
  <c r="G143" i="38" s="1"/>
  <c r="E141" i="38"/>
  <c r="H141" i="38" s="1"/>
  <c r="D141" i="38"/>
  <c r="G141" i="38" s="1"/>
  <c r="H140" i="38"/>
  <c r="G140" i="38"/>
  <c r="D140" i="38"/>
  <c r="N136" i="38"/>
  <c r="J136" i="38"/>
  <c r="N135" i="38"/>
  <c r="AE151" i="38" s="1"/>
  <c r="J135" i="38"/>
  <c r="H209" i="38"/>
  <c r="G209" i="38"/>
  <c r="D209" i="38"/>
  <c r="E207" i="38"/>
  <c r="H207" i="38" s="1"/>
  <c r="D207" i="38"/>
  <c r="G207" i="38" s="1"/>
  <c r="E205" i="38"/>
  <c r="H205" i="38" s="1"/>
  <c r="D205" i="38"/>
  <c r="G205" i="38" s="1"/>
  <c r="E203" i="38"/>
  <c r="H203" i="38" s="1"/>
  <c r="D203" i="38"/>
  <c r="G203" i="38" s="1"/>
  <c r="E201" i="38"/>
  <c r="H201" i="38" s="1"/>
  <c r="D201" i="38"/>
  <c r="G201" i="38" s="1"/>
  <c r="E199" i="38"/>
  <c r="H199" i="38" s="1"/>
  <c r="D199" i="38"/>
  <c r="G199" i="38" s="1"/>
  <c r="E197" i="38"/>
  <c r="H197" i="38" s="1"/>
  <c r="D197" i="38"/>
  <c r="G197" i="38" s="1"/>
  <c r="E195" i="38"/>
  <c r="H195" i="38" s="1"/>
  <c r="D195" i="38"/>
  <c r="G195" i="38" s="1"/>
  <c r="E193" i="38"/>
  <c r="H193" i="38" s="1"/>
  <c r="D193" i="38"/>
  <c r="G193" i="38" s="1"/>
  <c r="E191" i="38"/>
  <c r="H191" i="38" s="1"/>
  <c r="D191" i="38"/>
  <c r="G191" i="38" s="1"/>
  <c r="E189" i="38"/>
  <c r="H189" i="38" s="1"/>
  <c r="D189" i="38"/>
  <c r="G189" i="38" s="1"/>
  <c r="E187" i="38"/>
  <c r="H187" i="38" s="1"/>
  <c r="D187" i="38"/>
  <c r="G187" i="38" s="1"/>
  <c r="E185" i="38"/>
  <c r="H185" i="38" s="1"/>
  <c r="D185" i="38"/>
  <c r="G185" i="38" s="1"/>
  <c r="H184" i="38"/>
  <c r="G184" i="38"/>
  <c r="D184" i="38"/>
  <c r="N180" i="38"/>
  <c r="J180" i="38"/>
  <c r="N179" i="38"/>
  <c r="N181" i="38" s="1"/>
  <c r="AF196" i="38" s="1"/>
  <c r="J179" i="38"/>
  <c r="AE181" i="38"/>
  <c r="D264" i="38"/>
  <c r="F88" i="38" s="1"/>
  <c r="G88" i="38" s="1"/>
  <c r="E251" i="38"/>
  <c r="H251" i="38" s="1"/>
  <c r="D251" i="38"/>
  <c r="G251" i="38" s="1"/>
  <c r="E249" i="38"/>
  <c r="H249" i="38" s="1"/>
  <c r="D249" i="38"/>
  <c r="G249" i="38" s="1"/>
  <c r="E247" i="38"/>
  <c r="H247" i="38" s="1"/>
  <c r="D247" i="38"/>
  <c r="G247" i="38" s="1"/>
  <c r="E245" i="38"/>
  <c r="H245" i="38" s="1"/>
  <c r="D245" i="38"/>
  <c r="G245" i="38" s="1"/>
  <c r="E243" i="38"/>
  <c r="H243" i="38" s="1"/>
  <c r="D243" i="38"/>
  <c r="G243" i="38" s="1"/>
  <c r="E241" i="38"/>
  <c r="H241" i="38" s="1"/>
  <c r="D241" i="38"/>
  <c r="G241" i="38" s="1"/>
  <c r="E239" i="38"/>
  <c r="H239" i="38" s="1"/>
  <c r="D239" i="38"/>
  <c r="G239" i="38" s="1"/>
  <c r="E237" i="38"/>
  <c r="H237" i="38" s="1"/>
  <c r="D237" i="38"/>
  <c r="G237" i="38" s="1"/>
  <c r="E235" i="38"/>
  <c r="H235" i="38" s="1"/>
  <c r="D235" i="38"/>
  <c r="G235" i="38" s="1"/>
  <c r="E233" i="38"/>
  <c r="H233" i="38" s="1"/>
  <c r="D233" i="38"/>
  <c r="G233" i="38" s="1"/>
  <c r="E231" i="38"/>
  <c r="H231" i="38" s="1"/>
  <c r="D231" i="38"/>
  <c r="G231" i="38" s="1"/>
  <c r="E229" i="38"/>
  <c r="H229" i="38" s="1"/>
  <c r="D229" i="38"/>
  <c r="G229" i="38" s="1"/>
  <c r="D143" i="13"/>
  <c r="F143" i="13" s="1"/>
  <c r="Y333" i="13"/>
  <c r="Z333" i="13" s="1"/>
  <c r="Y332" i="13"/>
  <c r="Z332" i="13" s="1"/>
  <c r="Y331" i="13"/>
  <c r="Z331" i="13" s="1"/>
  <c r="Y330" i="13"/>
  <c r="Z330" i="13" s="1"/>
  <c r="Y329" i="13"/>
  <c r="Z329" i="13" s="1"/>
  <c r="Y328" i="13"/>
  <c r="Z328" i="13" s="1"/>
  <c r="Y327" i="13"/>
  <c r="Z327" i="13" s="1"/>
  <c r="Y326" i="13"/>
  <c r="Z326" i="13" s="1"/>
  <c r="Y315" i="13"/>
  <c r="Z315" i="13" s="1"/>
  <c r="Y314" i="13"/>
  <c r="Z314" i="13" s="1"/>
  <c r="Y313" i="13"/>
  <c r="Z313" i="13" s="1"/>
  <c r="Y275" i="13"/>
  <c r="Z275" i="13" s="1"/>
  <c r="Y276" i="13"/>
  <c r="Z276" i="13" s="1"/>
  <c r="Y277" i="13"/>
  <c r="Z277" i="13" s="1"/>
  <c r="Y281" i="13"/>
  <c r="Z281" i="13" s="1"/>
  <c r="Y282" i="13"/>
  <c r="Z282" i="13" s="1"/>
  <c r="Y283" i="13"/>
  <c r="Z283" i="13" s="1"/>
  <c r="Y284" i="13"/>
  <c r="Z284" i="13" s="1"/>
  <c r="Y304" i="13"/>
  <c r="Z304" i="13" s="1"/>
  <c r="Y306" i="13"/>
  <c r="Z306" i="13" s="1"/>
  <c r="Y307" i="13"/>
  <c r="Z307" i="13" s="1"/>
  <c r="Y309" i="13"/>
  <c r="Z309" i="13" s="1"/>
  <c r="Y310" i="13"/>
  <c r="Z310" i="13" s="1"/>
  <c r="Y311" i="13"/>
  <c r="Z311" i="13" s="1"/>
  <c r="Y273" i="13"/>
  <c r="Z273" i="13" s="1"/>
  <c r="Y272" i="13"/>
  <c r="Z272" i="13" s="1"/>
  <c r="Y271" i="13"/>
  <c r="Z271" i="13" s="1"/>
  <c r="Y270" i="13"/>
  <c r="Z270" i="13" s="1"/>
  <c r="Y235" i="13"/>
  <c r="Z235" i="13" s="1"/>
  <c r="Y214" i="13"/>
  <c r="Z214" i="13" s="1"/>
  <c r="Y208" i="13"/>
  <c r="Z208" i="13" s="1"/>
  <c r="Y200" i="13"/>
  <c r="Z200" i="13" s="1"/>
  <c r="Y33" i="13"/>
  <c r="Z33" i="13" s="1"/>
  <c r="Y80" i="13"/>
  <c r="Z80" i="13" s="1"/>
  <c r="Y79" i="13"/>
  <c r="Z79" i="13" s="1"/>
  <c r="Y77" i="13"/>
  <c r="Z77" i="13" s="1"/>
  <c r="Y143" i="13"/>
  <c r="Z143" i="13" s="1"/>
  <c r="Y108" i="13"/>
  <c r="Z108" i="13" s="1"/>
  <c r="Y105" i="13"/>
  <c r="Z105" i="13" s="1"/>
  <c r="Y104" i="13"/>
  <c r="Z104" i="13" s="1"/>
  <c r="Y103" i="13"/>
  <c r="Z103" i="13" s="1"/>
  <c r="Y166" i="13"/>
  <c r="Z166" i="13" s="1"/>
  <c r="Y178" i="13"/>
  <c r="Z178" i="13" s="1"/>
  <c r="K32" i="13"/>
  <c r="Y32" i="13" s="1"/>
  <c r="Z32" i="13" s="1"/>
  <c r="F32" i="13"/>
  <c r="M32" i="13" s="1"/>
  <c r="O32" i="13"/>
  <c r="X32" i="13" s="1"/>
  <c r="I32" i="13"/>
  <c r="Q82" i="13"/>
  <c r="D81" i="13"/>
  <c r="F81" i="13" s="1"/>
  <c r="M81" i="13" s="1"/>
  <c r="I81" i="13"/>
  <c r="AC239" i="38"/>
  <c r="AC195" i="38"/>
  <c r="AC151" i="38"/>
  <c r="AC107" i="38"/>
  <c r="AC63" i="38"/>
  <c r="AC19" i="38"/>
  <c r="Y353" i="13"/>
  <c r="Z353" i="13" s="1"/>
  <c r="Y352" i="13"/>
  <c r="Z352" i="13" s="1"/>
  <c r="Y350" i="13"/>
  <c r="Z350" i="13" s="1"/>
  <c r="Y349" i="13"/>
  <c r="Z349" i="13" s="1"/>
  <c r="Y348" i="13"/>
  <c r="Z348" i="13" s="1"/>
  <c r="X266" i="13"/>
  <c r="X264" i="13"/>
  <c r="X263" i="13"/>
  <c r="X262" i="13"/>
  <c r="X253" i="13"/>
  <c r="X252" i="13"/>
  <c r="X250" i="13"/>
  <c r="X249" i="13"/>
  <c r="X247" i="13"/>
  <c r="X245" i="13"/>
  <c r="X244" i="13"/>
  <c r="X243" i="13"/>
  <c r="X242" i="13"/>
  <c r="X241" i="13"/>
  <c r="X236" i="13"/>
  <c r="X235" i="13"/>
  <c r="X234" i="13"/>
  <c r="X233" i="13"/>
  <c r="X224" i="13"/>
  <c r="X223" i="13"/>
  <c r="X222" i="13"/>
  <c r="X217" i="13"/>
  <c r="X216" i="13"/>
  <c r="X215" i="13"/>
  <c r="X214" i="13"/>
  <c r="X213" i="13"/>
  <c r="X210" i="13"/>
  <c r="X208" i="13"/>
  <c r="X207" i="13"/>
  <c r="X206" i="13"/>
  <c r="X205" i="13"/>
  <c r="X203" i="13"/>
  <c r="X202" i="13"/>
  <c r="X201" i="13"/>
  <c r="X200" i="13"/>
  <c r="X199" i="13"/>
  <c r="X198" i="13"/>
  <c r="X197" i="13"/>
  <c r="X196" i="13"/>
  <c r="X195" i="13"/>
  <c r="X194" i="13"/>
  <c r="X189" i="13"/>
  <c r="X188" i="13"/>
  <c r="X187" i="13"/>
  <c r="X186" i="13"/>
  <c r="X185" i="13"/>
  <c r="X184" i="13"/>
  <c r="X183" i="13"/>
  <c r="X182" i="13"/>
  <c r="X181" i="13"/>
  <c r="X180" i="13"/>
  <c r="X179" i="13"/>
  <c r="X178" i="13"/>
  <c r="X177" i="13"/>
  <c r="X176" i="13"/>
  <c r="X171" i="13"/>
  <c r="X169" i="13"/>
  <c r="X168" i="13"/>
  <c r="X167" i="13"/>
  <c r="X164" i="13"/>
  <c r="X163" i="13"/>
  <c r="X162" i="13"/>
  <c r="X161" i="13"/>
  <c r="X160" i="13"/>
  <c r="X159" i="13"/>
  <c r="X158" i="13"/>
  <c r="X154" i="13"/>
  <c r="X153" i="13"/>
  <c r="X152" i="13"/>
  <c r="X151" i="13"/>
  <c r="X150" i="13"/>
  <c r="X148" i="13"/>
  <c r="X147" i="13"/>
  <c r="X146" i="13"/>
  <c r="X145" i="13"/>
  <c r="X144" i="13"/>
  <c r="X133" i="13"/>
  <c r="X132" i="13"/>
  <c r="X131" i="13"/>
  <c r="X126" i="13"/>
  <c r="X117" i="13"/>
  <c r="X116" i="13"/>
  <c r="X115" i="13"/>
  <c r="X114" i="13"/>
  <c r="X113" i="13"/>
  <c r="X112" i="13"/>
  <c r="X111" i="13"/>
  <c r="X110" i="13"/>
  <c r="X109" i="13"/>
  <c r="X107" i="13"/>
  <c r="X106" i="13"/>
  <c r="X105" i="13"/>
  <c r="X104" i="13"/>
  <c r="X103" i="13"/>
  <c r="X102" i="13"/>
  <c r="X101" i="13"/>
  <c r="X100" i="13"/>
  <c r="X90" i="13"/>
  <c r="X82" i="13"/>
  <c r="X63" i="13"/>
  <c r="X80" i="13"/>
  <c r="X79" i="13"/>
  <c r="X78" i="13"/>
  <c r="X77" i="13"/>
  <c r="X76" i="13"/>
  <c r="X75" i="13"/>
  <c r="X74" i="13"/>
  <c r="X72" i="13"/>
  <c r="X62" i="13"/>
  <c r="X61" i="13"/>
  <c r="X59" i="13"/>
  <c r="X58" i="13"/>
  <c r="X57" i="13"/>
  <c r="X56" i="13"/>
  <c r="X55" i="13"/>
  <c r="X52" i="13"/>
  <c r="X51" i="13"/>
  <c r="X47" i="13"/>
  <c r="X46" i="13"/>
  <c r="X45" i="13"/>
  <c r="X43" i="13"/>
  <c r="X7" i="13"/>
  <c r="X8" i="13"/>
  <c r="X9" i="13"/>
  <c r="X10" i="13"/>
  <c r="X12" i="13"/>
  <c r="X13" i="13"/>
  <c r="X16" i="13"/>
  <c r="X17" i="13"/>
  <c r="X18" i="13"/>
  <c r="X19" i="13"/>
  <c r="X20" i="13"/>
  <c r="X21" i="13"/>
  <c r="X22" i="13"/>
  <c r="X23" i="13"/>
  <c r="X24" i="13"/>
  <c r="X25" i="13"/>
  <c r="X34" i="13"/>
  <c r="X35" i="13"/>
  <c r="X6" i="13"/>
  <c r="W353" i="13"/>
  <c r="W352" i="13"/>
  <c r="W350" i="13"/>
  <c r="W349" i="13"/>
  <c r="W348" i="13"/>
  <c r="W347" i="13"/>
  <c r="W346" i="13"/>
  <c r="W345" i="13"/>
  <c r="W333" i="13"/>
  <c r="W332" i="13"/>
  <c r="W331" i="13"/>
  <c r="W330" i="13"/>
  <c r="W329" i="13"/>
  <c r="W328" i="13"/>
  <c r="W327" i="13"/>
  <c r="W326" i="13"/>
  <c r="W325" i="13"/>
  <c r="W324" i="13"/>
  <c r="W323" i="13"/>
  <c r="W322" i="13"/>
  <c r="W321" i="13"/>
  <c r="W320" i="13"/>
  <c r="W319" i="13"/>
  <c r="W318" i="13"/>
  <c r="W317" i="13"/>
  <c r="W315" i="13"/>
  <c r="W314" i="13"/>
  <c r="W313" i="13"/>
  <c r="W311" i="13"/>
  <c r="W310" i="13"/>
  <c r="W309" i="13"/>
  <c r="W308" i="13"/>
  <c r="W307" i="13"/>
  <c r="W306" i="13"/>
  <c r="W305" i="13"/>
  <c r="W304" i="13"/>
  <c r="W303" i="13"/>
  <c r="W284" i="13"/>
  <c r="W283" i="13"/>
  <c r="W282" i="13"/>
  <c r="W281" i="13"/>
  <c r="W277" i="13"/>
  <c r="W276" i="13"/>
  <c r="W275" i="13"/>
  <c r="W274" i="13"/>
  <c r="W273" i="13"/>
  <c r="W272" i="13"/>
  <c r="W271" i="13"/>
  <c r="W270" i="13"/>
  <c r="W268" i="13"/>
  <c r="W267" i="13"/>
  <c r="W266" i="13"/>
  <c r="W265" i="13"/>
  <c r="W264" i="13"/>
  <c r="W263" i="13"/>
  <c r="W262" i="13"/>
  <c r="W261" i="13"/>
  <c r="W260" i="13"/>
  <c r="W259" i="13"/>
  <c r="W258" i="13"/>
  <c r="W257" i="13"/>
  <c r="W256" i="13"/>
  <c r="W255" i="13"/>
  <c r="W254" i="13"/>
  <c r="W253" i="13"/>
  <c r="W252" i="13"/>
  <c r="W251" i="13"/>
  <c r="W250" i="13"/>
  <c r="W249" i="13"/>
  <c r="W248" i="13"/>
  <c r="W247" i="13"/>
  <c r="W245" i="13"/>
  <c r="W244" i="13"/>
  <c r="W243" i="13"/>
  <c r="W242" i="13"/>
  <c r="W241" i="13"/>
  <c r="W239" i="13"/>
  <c r="W238" i="13"/>
  <c r="W237" i="13"/>
  <c r="W236" i="13"/>
  <c r="W235" i="13"/>
  <c r="W234" i="13"/>
  <c r="W233" i="13"/>
  <c r="W232" i="13"/>
  <c r="W231" i="13"/>
  <c r="W230" i="13"/>
  <c r="W229" i="13"/>
  <c r="W228" i="13"/>
  <c r="W227" i="13"/>
  <c r="W226" i="13"/>
  <c r="W225" i="13"/>
  <c r="W224" i="13"/>
  <c r="W223" i="13"/>
  <c r="W222" i="13"/>
  <c r="W221" i="13"/>
  <c r="W220" i="13"/>
  <c r="W219" i="13"/>
  <c r="W218" i="13"/>
  <c r="W217" i="13"/>
  <c r="W216" i="13"/>
  <c r="W215" i="13"/>
  <c r="W214" i="13"/>
  <c r="W213" i="13"/>
  <c r="W212" i="13"/>
  <c r="W211" i="13"/>
  <c r="W210" i="13"/>
  <c r="W208" i="13"/>
  <c r="W207" i="13"/>
  <c r="W206" i="13"/>
  <c r="W205" i="13"/>
  <c r="W204" i="13"/>
  <c r="W203" i="13"/>
  <c r="W202" i="13"/>
  <c r="W201" i="13"/>
  <c r="W200" i="13"/>
  <c r="W199" i="13"/>
  <c r="W198" i="13"/>
  <c r="W197" i="13"/>
  <c r="W196" i="13"/>
  <c r="W195" i="13"/>
  <c r="W194" i="13"/>
  <c r="W43" i="13"/>
  <c r="W35" i="13"/>
  <c r="W34" i="13"/>
  <c r="W25" i="13"/>
  <c r="W24" i="13"/>
  <c r="W23" i="13"/>
  <c r="W22" i="13"/>
  <c r="W21" i="13"/>
  <c r="W20" i="13"/>
  <c r="W19" i="13"/>
  <c r="W18" i="13"/>
  <c r="W17" i="13"/>
  <c r="W16" i="13"/>
  <c r="W13" i="13"/>
  <c r="W12" i="13"/>
  <c r="W11" i="13"/>
  <c r="W10" i="13"/>
  <c r="W9" i="13"/>
  <c r="W8" i="13"/>
  <c r="W7" i="13"/>
  <c r="W6" i="13"/>
  <c r="W98" i="13"/>
  <c r="W97" i="13"/>
  <c r="W96" i="13"/>
  <c r="W91" i="13"/>
  <c r="W90" i="13"/>
  <c r="W88" i="13"/>
  <c r="W87" i="13"/>
  <c r="W86" i="13"/>
  <c r="W82" i="13"/>
  <c r="W67" i="13"/>
  <c r="W63" i="13"/>
  <c r="W80" i="13"/>
  <c r="W79" i="13"/>
  <c r="W78" i="13"/>
  <c r="W77" i="13"/>
  <c r="W76" i="13"/>
  <c r="W75" i="13"/>
  <c r="W74" i="13"/>
  <c r="W72" i="13"/>
  <c r="W62" i="13"/>
  <c r="W61" i="13"/>
  <c r="W59" i="13"/>
  <c r="W58" i="13"/>
  <c r="W57" i="13"/>
  <c r="W56" i="13"/>
  <c r="W55" i="13"/>
  <c r="W54" i="13"/>
  <c r="W53" i="13"/>
  <c r="W52" i="13"/>
  <c r="W51" i="13"/>
  <c r="W47" i="13"/>
  <c r="W46" i="13"/>
  <c r="W45" i="13"/>
  <c r="W148" i="13"/>
  <c r="W147" i="13"/>
  <c r="W146" i="13"/>
  <c r="W145" i="13"/>
  <c r="W144" i="13"/>
  <c r="W143" i="13"/>
  <c r="W141" i="13"/>
  <c r="W139" i="13"/>
  <c r="W136" i="13"/>
  <c r="W135" i="13"/>
  <c r="W133" i="13"/>
  <c r="W132" i="13"/>
  <c r="W131" i="13"/>
  <c r="W130" i="13"/>
  <c r="W129" i="13"/>
  <c r="W128" i="13"/>
  <c r="W127" i="13"/>
  <c r="W126" i="13"/>
  <c r="W125" i="13"/>
  <c r="W124" i="13"/>
  <c r="W123" i="13"/>
  <c r="W122" i="13"/>
  <c r="W121" i="13"/>
  <c r="W120" i="13"/>
  <c r="W119" i="13"/>
  <c r="W118" i="13"/>
  <c r="W117" i="13"/>
  <c r="W116" i="13"/>
  <c r="W115" i="13"/>
  <c r="W114" i="13"/>
  <c r="W113" i="13"/>
  <c r="W112" i="13"/>
  <c r="W111" i="13"/>
  <c r="W110" i="13"/>
  <c r="W109" i="13"/>
  <c r="W108" i="13"/>
  <c r="W107" i="13"/>
  <c r="W106" i="13"/>
  <c r="W105" i="13"/>
  <c r="W104" i="13"/>
  <c r="W103" i="13"/>
  <c r="W102" i="13"/>
  <c r="W101" i="13"/>
  <c r="W100" i="13"/>
  <c r="W150" i="13"/>
  <c r="W151" i="13"/>
  <c r="W152" i="13"/>
  <c r="W153" i="13"/>
  <c r="W154" i="13"/>
  <c r="W155" i="13"/>
  <c r="W157" i="13"/>
  <c r="W158" i="13"/>
  <c r="W159" i="13"/>
  <c r="W160" i="13"/>
  <c r="W161" i="13"/>
  <c r="W162" i="13"/>
  <c r="W163" i="13"/>
  <c r="W164" i="13"/>
  <c r="W165" i="13"/>
  <c r="W166" i="13"/>
  <c r="W167" i="13"/>
  <c r="W168" i="13"/>
  <c r="W169" i="13"/>
  <c r="W170" i="13"/>
  <c r="W171" i="13"/>
  <c r="W172" i="13"/>
  <c r="W176" i="13"/>
  <c r="W177" i="13"/>
  <c r="W178" i="13"/>
  <c r="W179" i="13"/>
  <c r="W180" i="13"/>
  <c r="W181" i="13"/>
  <c r="W182" i="13"/>
  <c r="W183" i="13"/>
  <c r="W184" i="13"/>
  <c r="W185" i="13"/>
  <c r="W186" i="13"/>
  <c r="W187" i="13"/>
  <c r="W188" i="13"/>
  <c r="W189" i="13"/>
  <c r="W190" i="13"/>
  <c r="W191" i="13"/>
  <c r="W192" i="13"/>
  <c r="K36" i="13"/>
  <c r="Y36" i="13" s="1"/>
  <c r="Z36" i="13" s="1"/>
  <c r="K37" i="13"/>
  <c r="Y37" i="13" s="1"/>
  <c r="Z37" i="13" s="1"/>
  <c r="K38" i="13"/>
  <c r="Y38" i="13" s="1"/>
  <c r="Z38" i="13" s="1"/>
  <c r="K39" i="13"/>
  <c r="Y39" i="13" s="1"/>
  <c r="Z39" i="13" s="1"/>
  <c r="K43" i="13"/>
  <c r="Y43" i="13" s="1"/>
  <c r="Z43" i="13" s="1"/>
  <c r="K35" i="13"/>
  <c r="Y35" i="13" s="1"/>
  <c r="Z35" i="13" s="1"/>
  <c r="AB387" i="13"/>
  <c r="AB388" i="13"/>
  <c r="AB389" i="13"/>
  <c r="AB390" i="13"/>
  <c r="AB391" i="13"/>
  <c r="AB392" i="13"/>
  <c r="AB393" i="13"/>
  <c r="AB394" i="13"/>
  <c r="AB395" i="13"/>
  <c r="AB396" i="13"/>
  <c r="AB386" i="13"/>
  <c r="AB345" i="13"/>
  <c r="AB346" i="13"/>
  <c r="AB247" i="13"/>
  <c r="AB248" i="13"/>
  <c r="AB242" i="13"/>
  <c r="AB243" i="13"/>
  <c r="AB244" i="13"/>
  <c r="AB245" i="13"/>
  <c r="AB241" i="13"/>
  <c r="AB211" i="13"/>
  <c r="AB212" i="13"/>
  <c r="AB213" i="13"/>
  <c r="AB214" i="13"/>
  <c r="AB215" i="13"/>
  <c r="AB216" i="13"/>
  <c r="AB217" i="13"/>
  <c r="AB218" i="13"/>
  <c r="AB219" i="13"/>
  <c r="AB220" i="13"/>
  <c r="AB221" i="13"/>
  <c r="AB210" i="13"/>
  <c r="AB195" i="13"/>
  <c r="AB196" i="13"/>
  <c r="AB197" i="13"/>
  <c r="AB198" i="13"/>
  <c r="AB199" i="13"/>
  <c r="AB200" i="13"/>
  <c r="AB201" i="13"/>
  <c r="AB194" i="13"/>
  <c r="AB151" i="13"/>
  <c r="AB152" i="13"/>
  <c r="AB153" i="13"/>
  <c r="AB154" i="13"/>
  <c r="AB155" i="13"/>
  <c r="AB157" i="13"/>
  <c r="AB158" i="13"/>
  <c r="AB159" i="13"/>
  <c r="AB160" i="13"/>
  <c r="AB150" i="13"/>
  <c r="AB120" i="13"/>
  <c r="AB121" i="13"/>
  <c r="AB122" i="13"/>
  <c r="AB123" i="13"/>
  <c r="AB124" i="13"/>
  <c r="AB125" i="13"/>
  <c r="AB101" i="13"/>
  <c r="AB102" i="13"/>
  <c r="AB103" i="13"/>
  <c r="AB104" i="13"/>
  <c r="AB105" i="13"/>
  <c r="AB106" i="13"/>
  <c r="AB107" i="13"/>
  <c r="AB108" i="13"/>
  <c r="AB109" i="13"/>
  <c r="AB110" i="13"/>
  <c r="AB111" i="13"/>
  <c r="AB112" i="13"/>
  <c r="AB113" i="13"/>
  <c r="AB114" i="13"/>
  <c r="AB115" i="13"/>
  <c r="AB116" i="13"/>
  <c r="AB117" i="13"/>
  <c r="AB118" i="13"/>
  <c r="AB119" i="13"/>
  <c r="AB100" i="13"/>
  <c r="AB46" i="13"/>
  <c r="AB47" i="13"/>
  <c r="AB51" i="13"/>
  <c r="AB52" i="13"/>
  <c r="AB53" i="13"/>
  <c r="AB54" i="13"/>
  <c r="AB55" i="13"/>
  <c r="AB56" i="13"/>
  <c r="AB57" i="13"/>
  <c r="AB58" i="13"/>
  <c r="AB59" i="13"/>
  <c r="AB61" i="13"/>
  <c r="AB62" i="13"/>
  <c r="AB72" i="13"/>
  <c r="AB74" i="13"/>
  <c r="AB75" i="13"/>
  <c r="AB76" i="13"/>
  <c r="AB77" i="13"/>
  <c r="AB78" i="13"/>
  <c r="AB79" i="13"/>
  <c r="AB80" i="13"/>
  <c r="AB63" i="13"/>
  <c r="AB67" i="13"/>
  <c r="AB45" i="13"/>
  <c r="AB7" i="13"/>
  <c r="AB8" i="13"/>
  <c r="AB9" i="13"/>
  <c r="AB10" i="13"/>
  <c r="AB11" i="13"/>
  <c r="AB12" i="13"/>
  <c r="AB13" i="13"/>
  <c r="AB14" i="13"/>
  <c r="AB15" i="13"/>
  <c r="AB16" i="13"/>
  <c r="AB17" i="13"/>
  <c r="AB18" i="13"/>
  <c r="AB19" i="13"/>
  <c r="AB20" i="13"/>
  <c r="AB21" i="13"/>
  <c r="AB22" i="13"/>
  <c r="AB23" i="13"/>
  <c r="AB24" i="13"/>
  <c r="AB25" i="13"/>
  <c r="AB26" i="13"/>
  <c r="AB27" i="13"/>
  <c r="AB28" i="13"/>
  <c r="AB6" i="13"/>
  <c r="AD345" i="13"/>
  <c r="AD346" i="13"/>
  <c r="AD347" i="13"/>
  <c r="AD342" i="13"/>
  <c r="AD341" i="13"/>
  <c r="AD271" i="13"/>
  <c r="AD272" i="13"/>
  <c r="AD273" i="13"/>
  <c r="AD274" i="13"/>
  <c r="AD275" i="13"/>
  <c r="AD276" i="13"/>
  <c r="AD277" i="13"/>
  <c r="AD281" i="13"/>
  <c r="AD282" i="13"/>
  <c r="AD283" i="13"/>
  <c r="AD284" i="13"/>
  <c r="AD303" i="13"/>
  <c r="AD304" i="13"/>
  <c r="AD305" i="13"/>
  <c r="AD306" i="13"/>
  <c r="AD307" i="13"/>
  <c r="AD308" i="13"/>
  <c r="AD309" i="13"/>
  <c r="AD270" i="13"/>
  <c r="AD266" i="13"/>
  <c r="AD264" i="13"/>
  <c r="AD263" i="13"/>
  <c r="AD262" i="13"/>
  <c r="AD253" i="13"/>
  <c r="AD252" i="13"/>
  <c r="AD250" i="13"/>
  <c r="AD249" i="13"/>
  <c r="AD247" i="13"/>
  <c r="AD245" i="13"/>
  <c r="AD233" i="13"/>
  <c r="AD234" i="13"/>
  <c r="AD235" i="13"/>
  <c r="AD236" i="13"/>
  <c r="AD224" i="13"/>
  <c r="AD214" i="13"/>
  <c r="AD215" i="13"/>
  <c r="AD216" i="13"/>
  <c r="AD217" i="13"/>
  <c r="AD213" i="13"/>
  <c r="AD205" i="13"/>
  <c r="AD206" i="13"/>
  <c r="AD207" i="13"/>
  <c r="AD208" i="13"/>
  <c r="AD203" i="13"/>
  <c r="AD198" i="13"/>
  <c r="AD197" i="13"/>
  <c r="AD177" i="13"/>
  <c r="AD178" i="13"/>
  <c r="AD179" i="13"/>
  <c r="AD180" i="13"/>
  <c r="AD181" i="13"/>
  <c r="AD182" i="13"/>
  <c r="AD183" i="13"/>
  <c r="AD184" i="13"/>
  <c r="AD185" i="13"/>
  <c r="AD186" i="13"/>
  <c r="AD187" i="13"/>
  <c r="AD188" i="13"/>
  <c r="AD189" i="13"/>
  <c r="AD176" i="13"/>
  <c r="AD169" i="13"/>
  <c r="AD161" i="13"/>
  <c r="AD162" i="13"/>
  <c r="AD163" i="13"/>
  <c r="AD164" i="13"/>
  <c r="AD167" i="13"/>
  <c r="AD168" i="13"/>
  <c r="AD171" i="13"/>
  <c r="AD159" i="13"/>
  <c r="AD158" i="13"/>
  <c r="AD153" i="13"/>
  <c r="AD152" i="13"/>
  <c r="AD117" i="13"/>
  <c r="AD126" i="13"/>
  <c r="AD131" i="13"/>
  <c r="AD132" i="13"/>
  <c r="AD133" i="13"/>
  <c r="AD137" i="13"/>
  <c r="AD138" i="13"/>
  <c r="AD144" i="13"/>
  <c r="AD145" i="13"/>
  <c r="AD146" i="13"/>
  <c r="AD147" i="13"/>
  <c r="AD148" i="13"/>
  <c r="AD116" i="13"/>
  <c r="AD107" i="13"/>
  <c r="AD106" i="13"/>
  <c r="AD46" i="13"/>
  <c r="AD47" i="13"/>
  <c r="AD51" i="13"/>
  <c r="AD52" i="13"/>
  <c r="AD55" i="13"/>
  <c r="AD56" i="13"/>
  <c r="AD57" i="13"/>
  <c r="AD58" i="13"/>
  <c r="AD59" i="13"/>
  <c r="AD61" i="13"/>
  <c r="AD62" i="13"/>
  <c r="AD72" i="13"/>
  <c r="AD74" i="13"/>
  <c r="AD75" i="13"/>
  <c r="AD76" i="13"/>
  <c r="AD77" i="13"/>
  <c r="AD78" i="13"/>
  <c r="AD79" i="13"/>
  <c r="AD80" i="13"/>
  <c r="AD82" i="13"/>
  <c r="AD83" i="13"/>
  <c r="AD84" i="13"/>
  <c r="AD85" i="13"/>
  <c r="AD90" i="13"/>
  <c r="AD45" i="13"/>
  <c r="AD6" i="13"/>
  <c r="AD7" i="13"/>
  <c r="AD8" i="13"/>
  <c r="AD9" i="13"/>
  <c r="AD10" i="13"/>
  <c r="AD11" i="13"/>
  <c r="AD12" i="13"/>
  <c r="AD13" i="13"/>
  <c r="AD14" i="13"/>
  <c r="AD15" i="13"/>
  <c r="AD16" i="13"/>
  <c r="AD17" i="13"/>
  <c r="AD18" i="13"/>
  <c r="AD19" i="13"/>
  <c r="AD20" i="13"/>
  <c r="AD21" i="13"/>
  <c r="AD22" i="13"/>
  <c r="AD23" i="13"/>
  <c r="AD24" i="13"/>
  <c r="AD25" i="13"/>
  <c r="AD26" i="13"/>
  <c r="AD27" i="13"/>
  <c r="AD28" i="13"/>
  <c r="AD33" i="13"/>
  <c r="AD35" i="13"/>
  <c r="AD34" i="13"/>
  <c r="AC387" i="13"/>
  <c r="AC388" i="13"/>
  <c r="AC389" i="13"/>
  <c r="AC390" i="13"/>
  <c r="AC391" i="13"/>
  <c r="AC392" i="13"/>
  <c r="AC393" i="13"/>
  <c r="AC394" i="13"/>
  <c r="AC395" i="13"/>
  <c r="AC396" i="13"/>
  <c r="AC386" i="13"/>
  <c r="AC345" i="13"/>
  <c r="AC346" i="13"/>
  <c r="AC347" i="13"/>
  <c r="AC348" i="13"/>
  <c r="AC349" i="13"/>
  <c r="AC350" i="13"/>
  <c r="AC352" i="13"/>
  <c r="AC353" i="13"/>
  <c r="AC318" i="13"/>
  <c r="AC319" i="13"/>
  <c r="AC320" i="13"/>
  <c r="AC321" i="13"/>
  <c r="AC322" i="13"/>
  <c r="AC323" i="13"/>
  <c r="AC324" i="13"/>
  <c r="AC325" i="13"/>
  <c r="AC317" i="13"/>
  <c r="AC308" i="13"/>
  <c r="AC309" i="13"/>
  <c r="AC276" i="13"/>
  <c r="AC277" i="13"/>
  <c r="AC281" i="13"/>
  <c r="AC282" i="13"/>
  <c r="AC283" i="13"/>
  <c r="AC284" i="13"/>
  <c r="AC275" i="13"/>
  <c r="AC268" i="13"/>
  <c r="AC266" i="13"/>
  <c r="AC265" i="13"/>
  <c r="AC267" i="13"/>
  <c r="AC263" i="13"/>
  <c r="AC262" i="13"/>
  <c r="AC242" i="13"/>
  <c r="AC243" i="13"/>
  <c r="AC244" i="13"/>
  <c r="AC245" i="13"/>
  <c r="AC241" i="13"/>
  <c r="AC236" i="13"/>
  <c r="AC233" i="13"/>
  <c r="AC228" i="13"/>
  <c r="AC229" i="13"/>
  <c r="AC230" i="13"/>
  <c r="AC231" i="13"/>
  <c r="AC232" i="13"/>
  <c r="AC234" i="13"/>
  <c r="AC227" i="13"/>
  <c r="AC222" i="13"/>
  <c r="AC214" i="13"/>
  <c r="AC204" i="13"/>
  <c r="AC203" i="13"/>
  <c r="AC205" i="13"/>
  <c r="AC206" i="13"/>
  <c r="AC207" i="13"/>
  <c r="AC202" i="13"/>
  <c r="AC187" i="13"/>
  <c r="AC188" i="13"/>
  <c r="AC192" i="13"/>
  <c r="AC185" i="13"/>
  <c r="AC186" i="13"/>
  <c r="AC183" i="13"/>
  <c r="AC182" i="13"/>
  <c r="AC180" i="13"/>
  <c r="AC179" i="13"/>
  <c r="AC178" i="13"/>
  <c r="AC171" i="13"/>
  <c r="AC168" i="13"/>
  <c r="AC167" i="13"/>
  <c r="AC166" i="13"/>
  <c r="AC165" i="13"/>
  <c r="AC169" i="13"/>
  <c r="AC170" i="13"/>
  <c r="AC172" i="13"/>
  <c r="AC174" i="13"/>
  <c r="AC175" i="13"/>
  <c r="AC164" i="13"/>
  <c r="AC160" i="13"/>
  <c r="AC158" i="13"/>
  <c r="AC157" i="13"/>
  <c r="AC154" i="13"/>
  <c r="AC153" i="13"/>
  <c r="AB338" i="13"/>
  <c r="AB339" i="13"/>
  <c r="AB340" i="13"/>
  <c r="AB341" i="13"/>
  <c r="AB342" i="13"/>
  <c r="AB335" i="13"/>
  <c r="AB271" i="13"/>
  <c r="AB273" i="13"/>
  <c r="AB274" i="13"/>
  <c r="AB303" i="13"/>
  <c r="AB306" i="13"/>
  <c r="AB307" i="13"/>
  <c r="AB308" i="13"/>
  <c r="AB270" i="13"/>
  <c r="AB250" i="13"/>
  <c r="AB251" i="13"/>
  <c r="AB252" i="13"/>
  <c r="AB253" i="13"/>
  <c r="AB254" i="13"/>
  <c r="AB255" i="13"/>
  <c r="AB256" i="13"/>
  <c r="AB257" i="13"/>
  <c r="AB258" i="13"/>
  <c r="AB259" i="13"/>
  <c r="AB260" i="13"/>
  <c r="AB261" i="13"/>
  <c r="AB262" i="13"/>
  <c r="AB266" i="13"/>
  <c r="AB249" i="13"/>
  <c r="AB235" i="13"/>
  <c r="AB238" i="13"/>
  <c r="AB239" i="13"/>
  <c r="AB237" i="13"/>
  <c r="AB223" i="13"/>
  <c r="AB224" i="13"/>
  <c r="AB236" i="13"/>
  <c r="AB222" i="13"/>
  <c r="AB203" i="13"/>
  <c r="AB204" i="13"/>
  <c r="AB205" i="13"/>
  <c r="AB206" i="13"/>
  <c r="AB207" i="13"/>
  <c r="AB208" i="13"/>
  <c r="AB202" i="13"/>
  <c r="AB189" i="13"/>
  <c r="AB190" i="13"/>
  <c r="AB191" i="13"/>
  <c r="AB192" i="13"/>
  <c r="AB188" i="13"/>
  <c r="AB175" i="13"/>
  <c r="AB174" i="13"/>
  <c r="AB162" i="13"/>
  <c r="AB163" i="13"/>
  <c r="AB164" i="13"/>
  <c r="AB165" i="13"/>
  <c r="AB166" i="13"/>
  <c r="AB167" i="13"/>
  <c r="AB168" i="13"/>
  <c r="AB169" i="13"/>
  <c r="AB170" i="13"/>
  <c r="AB171" i="13"/>
  <c r="AB172" i="13"/>
  <c r="AB176" i="13"/>
  <c r="AB177" i="13"/>
  <c r="AB178" i="13"/>
  <c r="AB179" i="13"/>
  <c r="AB180" i="13"/>
  <c r="AB181" i="13"/>
  <c r="AB182" i="13"/>
  <c r="AB183" i="13"/>
  <c r="AB184" i="13"/>
  <c r="AB161" i="13"/>
  <c r="AC141" i="13"/>
  <c r="AC127" i="13"/>
  <c r="AC135" i="13"/>
  <c r="AC136" i="13"/>
  <c r="AC137" i="13"/>
  <c r="AC138" i="13"/>
  <c r="AC144" i="13"/>
  <c r="AC145" i="13"/>
  <c r="AC146" i="13"/>
  <c r="AC147" i="13"/>
  <c r="AC148" i="13"/>
  <c r="AB145" i="13"/>
  <c r="AB146" i="13"/>
  <c r="AB147" i="13"/>
  <c r="AB148" i="13"/>
  <c r="AB144" i="13"/>
  <c r="AB135" i="13"/>
  <c r="AB136" i="13"/>
  <c r="AB137" i="13"/>
  <c r="AB138" i="13"/>
  <c r="AB139" i="13"/>
  <c r="AB141" i="13"/>
  <c r="AB143" i="13"/>
  <c r="AB133" i="13"/>
  <c r="AB127" i="13"/>
  <c r="AB128" i="13"/>
  <c r="AB129" i="13"/>
  <c r="AB130" i="13"/>
  <c r="AB126" i="13"/>
  <c r="AC121" i="13"/>
  <c r="AC122" i="13"/>
  <c r="AC123" i="13"/>
  <c r="AC124" i="13"/>
  <c r="AC120" i="13"/>
  <c r="AC103" i="13"/>
  <c r="AC100" i="13"/>
  <c r="AC106" i="13"/>
  <c r="AB98" i="13"/>
  <c r="AB97" i="13"/>
  <c r="AB96" i="13"/>
  <c r="AB90" i="13"/>
  <c r="AC96" i="13"/>
  <c r="AC84" i="13"/>
  <c r="AC85" i="13"/>
  <c r="AC86" i="13"/>
  <c r="AC87" i="13"/>
  <c r="AC88" i="13"/>
  <c r="AC90" i="13"/>
  <c r="AC91" i="13"/>
  <c r="AC97" i="13"/>
  <c r="AC98" i="13"/>
  <c r="AC83" i="13"/>
  <c r="AB84" i="13"/>
  <c r="AB85" i="13"/>
  <c r="AB83" i="13"/>
  <c r="AC76" i="13"/>
  <c r="AC78" i="13"/>
  <c r="AC63" i="13"/>
  <c r="AC75" i="13"/>
  <c r="AC35" i="13"/>
  <c r="AC34" i="13"/>
  <c r="AC33" i="13"/>
  <c r="AB35" i="13"/>
  <c r="AB34" i="13"/>
  <c r="AB33" i="13"/>
  <c r="AB43" i="13"/>
  <c r="AC43" i="13"/>
  <c r="I153" i="13"/>
  <c r="I154" i="13"/>
  <c r="I155" i="13"/>
  <c r="I157" i="13"/>
  <c r="I158" i="13"/>
  <c r="I159" i="13"/>
  <c r="I160" i="13"/>
  <c r="I161" i="13"/>
  <c r="I162" i="13"/>
  <c r="I163" i="13"/>
  <c r="I164" i="13"/>
  <c r="I165" i="13"/>
  <c r="I166" i="13"/>
  <c r="I167" i="13"/>
  <c r="I168" i="13"/>
  <c r="I169" i="13"/>
  <c r="I170" i="13"/>
  <c r="I171" i="13"/>
  <c r="F175" i="13"/>
  <c r="D175" i="13" s="1"/>
  <c r="K175" i="13" s="1"/>
  <c r="Y175" i="13" s="1"/>
  <c r="Z175" i="13" s="1"/>
  <c r="F174" i="13"/>
  <c r="D174" i="13" s="1"/>
  <c r="K174" i="13" s="1"/>
  <c r="Y174" i="13" s="1"/>
  <c r="Z174" i="13" s="1"/>
  <c r="M158" i="13"/>
  <c r="M157" i="13"/>
  <c r="M154" i="13"/>
  <c r="M153" i="13"/>
  <c r="M236" i="13"/>
  <c r="M233" i="13"/>
  <c r="M222" i="13"/>
  <c r="M214" i="13"/>
  <c r="K210" i="13"/>
  <c r="Y210" i="13" s="1"/>
  <c r="Z210" i="13" s="1"/>
  <c r="U213" i="13"/>
  <c r="U223" i="13"/>
  <c r="U169" i="13"/>
  <c r="U132" i="13"/>
  <c r="U131" i="13"/>
  <c r="U144" i="13"/>
  <c r="U145" i="13"/>
  <c r="U146" i="13"/>
  <c r="U147" i="13"/>
  <c r="U148" i="13"/>
  <c r="U103" i="13"/>
  <c r="U104" i="13"/>
  <c r="U106" i="13"/>
  <c r="U107" i="13"/>
  <c r="U116" i="13"/>
  <c r="U117" i="13"/>
  <c r="U126" i="13"/>
  <c r="U133" i="13"/>
  <c r="Q126" i="13"/>
  <c r="Q116" i="13"/>
  <c r="Q117" i="13"/>
  <c r="I125" i="13"/>
  <c r="I126" i="13"/>
  <c r="I127" i="13"/>
  <c r="I128" i="13"/>
  <c r="M148" i="13"/>
  <c r="M147" i="13"/>
  <c r="M146" i="13"/>
  <c r="M145" i="13"/>
  <c r="M144" i="13"/>
  <c r="D148" i="13"/>
  <c r="K148" i="13" s="1"/>
  <c r="Y148" i="13" s="1"/>
  <c r="Z148" i="13" s="1"/>
  <c r="D147" i="13"/>
  <c r="K147" i="13" s="1"/>
  <c r="Y147" i="13" s="1"/>
  <c r="Z147" i="13" s="1"/>
  <c r="D146" i="13"/>
  <c r="K146" i="13" s="1"/>
  <c r="Y146" i="13" s="1"/>
  <c r="Z146" i="13" s="1"/>
  <c r="D145" i="13"/>
  <c r="K145" i="13" s="1"/>
  <c r="Y145" i="13" s="1"/>
  <c r="Z145" i="13" s="1"/>
  <c r="D144" i="13"/>
  <c r="K144" i="13" s="1"/>
  <c r="Y144" i="13" s="1"/>
  <c r="Z144" i="13" s="1"/>
  <c r="M143" i="13"/>
  <c r="I143" i="13"/>
  <c r="K165" i="13"/>
  <c r="Y165" i="13" s="1"/>
  <c r="Z165" i="13" s="1"/>
  <c r="K141" i="13"/>
  <c r="Y141" i="13" s="1"/>
  <c r="Z141" i="13" s="1"/>
  <c r="I141" i="13"/>
  <c r="F141" i="13"/>
  <c r="M141" i="13" s="1"/>
  <c r="D165" i="13"/>
  <c r="K164" i="13"/>
  <c r="Y164" i="13" s="1"/>
  <c r="Z164" i="13" s="1"/>
  <c r="M166" i="13"/>
  <c r="F166" i="13" s="1"/>
  <c r="D166" i="13"/>
  <c r="E101" i="38"/>
  <c r="H101" i="38" s="1"/>
  <c r="I139" i="13"/>
  <c r="O138" i="13"/>
  <c r="U138" i="13" s="1"/>
  <c r="M138" i="13"/>
  <c r="I138" i="13"/>
  <c r="D138" i="13"/>
  <c r="K138" i="13" s="1"/>
  <c r="Y138" i="13" s="1"/>
  <c r="Z138" i="13" s="1"/>
  <c r="O137" i="13"/>
  <c r="M137" i="13"/>
  <c r="I137" i="13"/>
  <c r="D137" i="13"/>
  <c r="K137" i="13" s="1"/>
  <c r="Y137" i="13" s="1"/>
  <c r="Z137" i="13" s="1"/>
  <c r="I135" i="13"/>
  <c r="I136" i="13"/>
  <c r="K135" i="13"/>
  <c r="Y135" i="13" s="1"/>
  <c r="Z135" i="13" s="1"/>
  <c r="M127" i="13"/>
  <c r="M106" i="13"/>
  <c r="M199" i="13"/>
  <c r="K199" i="13"/>
  <c r="Y199" i="13" s="1"/>
  <c r="Z199" i="13" s="1"/>
  <c r="M207" i="13"/>
  <c r="M203" i="13"/>
  <c r="M202" i="13"/>
  <c r="U252" i="13"/>
  <c r="U253" i="13"/>
  <c r="U262" i="13"/>
  <c r="U263" i="13"/>
  <c r="U264" i="13"/>
  <c r="U266" i="13"/>
  <c r="K268" i="13"/>
  <c r="Y268" i="13" s="1"/>
  <c r="Z268" i="13" s="1"/>
  <c r="M267" i="13"/>
  <c r="M265" i="13"/>
  <c r="M263" i="13"/>
  <c r="M262" i="13"/>
  <c r="I250" i="13"/>
  <c r="I251" i="13"/>
  <c r="I252" i="13"/>
  <c r="I253" i="13"/>
  <c r="I254" i="13"/>
  <c r="I255" i="13"/>
  <c r="I256" i="13"/>
  <c r="I257" i="13"/>
  <c r="I258" i="13"/>
  <c r="I259" i="13"/>
  <c r="I260" i="13"/>
  <c r="I261" i="13"/>
  <c r="I262" i="13"/>
  <c r="I266" i="13"/>
  <c r="F268" i="13"/>
  <c r="M268" i="13" s="1"/>
  <c r="M282" i="13"/>
  <c r="M281" i="13"/>
  <c r="M277" i="13"/>
  <c r="M276" i="13"/>
  <c r="M275" i="13"/>
  <c r="U247" i="13"/>
  <c r="U250" i="13"/>
  <c r="U249" i="13"/>
  <c r="Q307" i="13"/>
  <c r="F98" i="13"/>
  <c r="M98" i="13" s="1"/>
  <c r="I86" i="13"/>
  <c r="I87" i="13"/>
  <c r="I88" i="13"/>
  <c r="I90" i="13"/>
  <c r="I91" i="13"/>
  <c r="K86" i="13"/>
  <c r="Y86" i="13" s="1"/>
  <c r="Z86" i="13" s="1"/>
  <c r="K87" i="13"/>
  <c r="Y87" i="13" s="1"/>
  <c r="Z87" i="13" s="1"/>
  <c r="F87" i="13"/>
  <c r="M87" i="13" s="1"/>
  <c r="F86" i="13"/>
  <c r="M86" i="13" s="1"/>
  <c r="F82" i="13"/>
  <c r="M82" i="13" s="1"/>
  <c r="K85" i="13"/>
  <c r="Y85" i="13" s="1"/>
  <c r="Z85" i="13" s="1"/>
  <c r="I85" i="13"/>
  <c r="K84" i="13"/>
  <c r="Y84" i="13" s="1"/>
  <c r="Z84" i="13" s="1"/>
  <c r="I84" i="13"/>
  <c r="K83" i="13"/>
  <c r="Y83" i="13" s="1"/>
  <c r="Z83" i="13" s="1"/>
  <c r="I83" i="13"/>
  <c r="F85" i="13"/>
  <c r="M85" i="13" s="1"/>
  <c r="F84" i="13"/>
  <c r="M84" i="13" s="1"/>
  <c r="F83" i="13"/>
  <c r="M83" i="13" s="1"/>
  <c r="O84" i="13"/>
  <c r="U84" i="13" s="1"/>
  <c r="O85" i="13"/>
  <c r="X85" i="13" s="1"/>
  <c r="O83" i="13"/>
  <c r="W83" i="13" s="1"/>
  <c r="K82" i="13"/>
  <c r="Y82" i="13" s="1"/>
  <c r="Z82" i="13" s="1"/>
  <c r="I82" i="13"/>
  <c r="U82" i="13"/>
  <c r="U88" i="13"/>
  <c r="Q52" i="13"/>
  <c r="Q55" i="13"/>
  <c r="Q56" i="13"/>
  <c r="Q57" i="13"/>
  <c r="Q58" i="13"/>
  <c r="Q59" i="13"/>
  <c r="Q61" i="13"/>
  <c r="Q62" i="13"/>
  <c r="Q75" i="13"/>
  <c r="Q76" i="13"/>
  <c r="Q78" i="13"/>
  <c r="Q63" i="13"/>
  <c r="Q47" i="13"/>
  <c r="Q51" i="13"/>
  <c r="F91" i="13"/>
  <c r="M91" i="13" s="1"/>
  <c r="K91" i="13"/>
  <c r="Y91" i="13" s="1"/>
  <c r="Z91" i="13" s="1"/>
  <c r="Y90" i="13"/>
  <c r="Z90" i="13" s="1"/>
  <c r="M88" i="13"/>
  <c r="K88" i="13"/>
  <c r="Y88" i="13" s="1"/>
  <c r="Z88" i="13" s="1"/>
  <c r="U47" i="13"/>
  <c r="U51" i="13"/>
  <c r="U52" i="13"/>
  <c r="U55" i="13"/>
  <c r="U56" i="13"/>
  <c r="U57" i="13"/>
  <c r="U58" i="13"/>
  <c r="U59" i="13"/>
  <c r="U61" i="13"/>
  <c r="U62" i="13"/>
  <c r="U72" i="13"/>
  <c r="U74" i="13"/>
  <c r="U75" i="13"/>
  <c r="U76" i="13"/>
  <c r="U77" i="13"/>
  <c r="U78" i="13"/>
  <c r="U79" i="13"/>
  <c r="U80" i="13"/>
  <c r="U63" i="13"/>
  <c r="U90" i="13"/>
  <c r="U46" i="13"/>
  <c r="U45" i="13"/>
  <c r="K63" i="13"/>
  <c r="Y63" i="13" s="1"/>
  <c r="Z63" i="13" s="1"/>
  <c r="K78" i="13"/>
  <c r="Y78" i="13" s="1"/>
  <c r="Z78" i="13" s="1"/>
  <c r="K76" i="13"/>
  <c r="Y76" i="13" s="1"/>
  <c r="Z76" i="13" s="1"/>
  <c r="K75" i="13"/>
  <c r="Y75" i="13" s="1"/>
  <c r="Z75" i="13" s="1"/>
  <c r="F63" i="13"/>
  <c r="M63" i="13" s="1"/>
  <c r="F78" i="13"/>
  <c r="M78" i="13" s="1"/>
  <c r="F76" i="13"/>
  <c r="M76" i="13" s="1"/>
  <c r="F75" i="13"/>
  <c r="M75" i="13" s="1"/>
  <c r="Q46" i="13"/>
  <c r="Q45" i="13"/>
  <c r="U8" i="13"/>
  <c r="U9" i="13"/>
  <c r="U10" i="13"/>
  <c r="U11" i="13"/>
  <c r="U12" i="13"/>
  <c r="U13" i="13"/>
  <c r="U16" i="13"/>
  <c r="U17" i="13"/>
  <c r="U18" i="13"/>
  <c r="U19" i="13"/>
  <c r="U20" i="13"/>
  <c r="U21" i="13"/>
  <c r="U22" i="13"/>
  <c r="U23" i="13"/>
  <c r="U24" i="13"/>
  <c r="U25" i="13"/>
  <c r="U34" i="13"/>
  <c r="U35" i="13"/>
  <c r="U43" i="13"/>
  <c r="U6" i="13"/>
  <c r="Q16" i="13"/>
  <c r="Q17" i="13"/>
  <c r="Q18" i="13"/>
  <c r="Q19" i="13"/>
  <c r="Q20" i="13"/>
  <c r="Q21" i="13"/>
  <c r="Q22" i="13"/>
  <c r="Q23" i="13"/>
  <c r="Q25" i="13"/>
  <c r="Q24" i="13"/>
  <c r="Q43" i="13"/>
  <c r="O335" i="13"/>
  <c r="W335" i="13" s="1"/>
  <c r="O342" i="13"/>
  <c r="W342" i="13" s="1"/>
  <c r="O341" i="13"/>
  <c r="W341" i="13" s="1"/>
  <c r="O27" i="13"/>
  <c r="O28" i="13"/>
  <c r="U28" i="13" s="1"/>
  <c r="O26" i="13"/>
  <c r="W26" i="13" s="1"/>
  <c r="Q189" i="13"/>
  <c r="Q188" i="13"/>
  <c r="O339" i="13"/>
  <c r="W339" i="13" s="1"/>
  <c r="Q306" i="13"/>
  <c r="Q274" i="13"/>
  <c r="Q273" i="13"/>
  <c r="K325" i="13"/>
  <c r="K324" i="13"/>
  <c r="K323" i="13"/>
  <c r="K322" i="13"/>
  <c r="K321" i="13"/>
  <c r="K320" i="13"/>
  <c r="K319" i="13"/>
  <c r="K318" i="13"/>
  <c r="K317" i="13"/>
  <c r="K231" i="13"/>
  <c r="K230" i="13"/>
  <c r="Y230" i="13" s="1"/>
  <c r="Z230" i="13" s="1"/>
  <c r="K229" i="13"/>
  <c r="Y229" i="13" s="1"/>
  <c r="Z229" i="13" s="1"/>
  <c r="K228" i="13"/>
  <c r="Y228" i="13" s="1"/>
  <c r="Z228" i="13" s="1"/>
  <c r="K227" i="13"/>
  <c r="Y227" i="13" s="1"/>
  <c r="Z227" i="13" s="1"/>
  <c r="M188" i="13"/>
  <c r="D188" i="13"/>
  <c r="K188" i="13" s="1"/>
  <c r="Y188" i="13" s="1"/>
  <c r="Z188" i="13" s="1"/>
  <c r="M192" i="13"/>
  <c r="D192" i="13"/>
  <c r="K192" i="13" s="1"/>
  <c r="Y192" i="13" s="1"/>
  <c r="Z192" i="13" s="1"/>
  <c r="I204" i="13"/>
  <c r="Q187" i="13"/>
  <c r="Q186" i="13"/>
  <c r="Q185" i="13"/>
  <c r="M187" i="13"/>
  <c r="M186" i="13"/>
  <c r="K185" i="13"/>
  <c r="Y185" i="13" s="1"/>
  <c r="Z185" i="13" s="1"/>
  <c r="M184" i="13"/>
  <c r="M183" i="13"/>
  <c r="M182" i="13"/>
  <c r="M180" i="13"/>
  <c r="M179" i="13"/>
  <c r="Q178" i="13"/>
  <c r="Q179" i="13"/>
  <c r="Q180" i="13"/>
  <c r="Q181" i="13"/>
  <c r="Q182" i="13"/>
  <c r="Q183" i="13"/>
  <c r="Q184" i="13"/>
  <c r="I192" i="13"/>
  <c r="I191" i="13"/>
  <c r="I190" i="13"/>
  <c r="D187" i="13"/>
  <c r="K187" i="13" s="1"/>
  <c r="Y187" i="13" s="1"/>
  <c r="Z187" i="13" s="1"/>
  <c r="F185" i="13"/>
  <c r="M185" i="13" s="1"/>
  <c r="D186" i="13"/>
  <c r="K186" i="13" s="1"/>
  <c r="Y186" i="13" s="1"/>
  <c r="Z186" i="13" s="1"/>
  <c r="D178" i="13"/>
  <c r="D180" i="13"/>
  <c r="K180" i="13" s="1"/>
  <c r="Y180" i="13" s="1"/>
  <c r="Z180" i="13" s="1"/>
  <c r="M206" i="13"/>
  <c r="M205" i="13"/>
  <c r="D206" i="13"/>
  <c r="K206" i="13" s="1"/>
  <c r="Y206" i="13" s="1"/>
  <c r="Z206" i="13" s="1"/>
  <c r="D205" i="13"/>
  <c r="K205" i="13" s="1"/>
  <c r="Y205" i="13" s="1"/>
  <c r="Z205" i="13" s="1"/>
  <c r="Q202" i="13"/>
  <c r="Q250" i="13"/>
  <c r="O338" i="13"/>
  <c r="W338" i="13" s="1"/>
  <c r="I133" i="13"/>
  <c r="I132" i="13"/>
  <c r="I131" i="13"/>
  <c r="O15" i="13"/>
  <c r="X15" i="13" s="1"/>
  <c r="O14" i="13"/>
  <c r="X14" i="13" s="1"/>
  <c r="Q7" i="13"/>
  <c r="Q8" i="13"/>
  <c r="Q10" i="13"/>
  <c r="Q11" i="13"/>
  <c r="Q12" i="13"/>
  <c r="Q13" i="13"/>
  <c r="M333" i="13"/>
  <c r="M332" i="13"/>
  <c r="M331" i="13"/>
  <c r="M330" i="13"/>
  <c r="M329" i="13"/>
  <c r="M328" i="13"/>
  <c r="M327" i="13"/>
  <c r="M326" i="13"/>
  <c r="M315" i="13"/>
  <c r="M314" i="13"/>
  <c r="M313" i="13"/>
  <c r="K305" i="13"/>
  <c r="Y305" i="13" s="1"/>
  <c r="Z305" i="13" s="1"/>
  <c r="M306" i="13"/>
  <c r="M307" i="13"/>
  <c r="M311" i="13"/>
  <c r="M310" i="13"/>
  <c r="M304" i="13"/>
  <c r="I236" i="13"/>
  <c r="I235" i="13"/>
  <c r="K226" i="13"/>
  <c r="Y226" i="13" s="1"/>
  <c r="Z226" i="13" s="1"/>
  <c r="K225" i="13"/>
  <c r="Y225" i="13" s="1"/>
  <c r="Z225" i="13" s="1"/>
  <c r="K224" i="13"/>
  <c r="Y224" i="13" s="1"/>
  <c r="Z224" i="13" s="1"/>
  <c r="I223" i="13"/>
  <c r="I222" i="13"/>
  <c r="I221" i="13"/>
  <c r="I220" i="13"/>
  <c r="I219" i="13"/>
  <c r="I218" i="13"/>
  <c r="I217" i="13"/>
  <c r="I216" i="13"/>
  <c r="I215" i="13"/>
  <c r="I214" i="13"/>
  <c r="I213" i="13"/>
  <c r="I212" i="13"/>
  <c r="I211" i="13"/>
  <c r="I210" i="13"/>
  <c r="F210" i="13"/>
  <c r="M210" i="13" s="1"/>
  <c r="F310" i="13"/>
  <c r="F305" i="13"/>
  <c r="F303" i="13"/>
  <c r="F226" i="13"/>
  <c r="M226" i="13" s="1"/>
  <c r="F224" i="13"/>
  <c r="M224" i="13" s="1"/>
  <c r="F225" i="13"/>
  <c r="M225" i="13" s="1"/>
  <c r="I187" i="13"/>
  <c r="I186" i="13"/>
  <c r="I185" i="13"/>
  <c r="I183" i="13"/>
  <c r="K181" i="13"/>
  <c r="Y181" i="13" s="1"/>
  <c r="Z181" i="13" s="1"/>
  <c r="K177" i="13"/>
  <c r="Y177" i="13" s="1"/>
  <c r="Z177" i="13" s="1"/>
  <c r="K176" i="13"/>
  <c r="Y176" i="13" s="1"/>
  <c r="Z176" i="13" s="1"/>
  <c r="F181" i="13"/>
  <c r="M181" i="13" s="1"/>
  <c r="F177" i="13"/>
  <c r="M177" i="13" s="1"/>
  <c r="F176" i="13"/>
  <c r="M176" i="13" s="1"/>
  <c r="M163" i="13"/>
  <c r="K163" i="13"/>
  <c r="Y163" i="13" s="1"/>
  <c r="Z163" i="13" s="1"/>
  <c r="M162" i="13"/>
  <c r="K162" i="13"/>
  <c r="Y162" i="13" s="1"/>
  <c r="Z162" i="13" s="1"/>
  <c r="M161" i="13"/>
  <c r="K161" i="13"/>
  <c r="Y161" i="13" s="1"/>
  <c r="Z161" i="13" s="1"/>
  <c r="M159" i="13"/>
  <c r="K159" i="13"/>
  <c r="Y159" i="13" s="1"/>
  <c r="Z159" i="13" s="1"/>
  <c r="M155" i="13"/>
  <c r="K155" i="13"/>
  <c r="Y155" i="13" s="1"/>
  <c r="Z155" i="13" s="1"/>
  <c r="M152" i="13"/>
  <c r="K152" i="13"/>
  <c r="Y152" i="13" s="1"/>
  <c r="Z152" i="13" s="1"/>
  <c r="M151" i="13"/>
  <c r="K151" i="13"/>
  <c r="Y151" i="13" s="1"/>
  <c r="Z151" i="13" s="1"/>
  <c r="M150" i="13"/>
  <c r="K150" i="13"/>
  <c r="Y150" i="13" s="1"/>
  <c r="Z150" i="13" s="1"/>
  <c r="I182" i="13"/>
  <c r="I181" i="13"/>
  <c r="I179" i="13"/>
  <c r="I177" i="13"/>
  <c r="I176" i="13"/>
  <c r="I152" i="13"/>
  <c r="I151" i="13"/>
  <c r="I150" i="13"/>
  <c r="I130" i="13"/>
  <c r="I129" i="13"/>
  <c r="K119" i="13"/>
  <c r="Y119" i="13" s="1"/>
  <c r="Z119" i="13" s="1"/>
  <c r="F119" i="13"/>
  <c r="M119" i="13" s="1"/>
  <c r="M118" i="13"/>
  <c r="K118" i="13"/>
  <c r="Y118" i="13" s="1"/>
  <c r="Z118" i="13" s="1"/>
  <c r="M117" i="13"/>
  <c r="K117" i="13"/>
  <c r="Y117" i="13" s="1"/>
  <c r="Z117" i="13" s="1"/>
  <c r="M116" i="13"/>
  <c r="K116" i="13"/>
  <c r="Y116" i="13" s="1"/>
  <c r="Z116" i="13" s="1"/>
  <c r="M115" i="13"/>
  <c r="K115" i="13"/>
  <c r="Y115" i="13" s="1"/>
  <c r="Z115" i="13" s="1"/>
  <c r="M114" i="13"/>
  <c r="K114" i="13"/>
  <c r="Y114" i="13" s="1"/>
  <c r="Z114" i="13" s="1"/>
  <c r="M113" i="13"/>
  <c r="K113" i="13"/>
  <c r="Y113" i="13" s="1"/>
  <c r="Z113" i="13" s="1"/>
  <c r="M112" i="13"/>
  <c r="K112" i="13"/>
  <c r="Y112" i="13" s="1"/>
  <c r="Z112" i="13" s="1"/>
  <c r="M111" i="13"/>
  <c r="K111" i="13"/>
  <c r="Y111" i="13" s="1"/>
  <c r="Z111" i="13" s="1"/>
  <c r="M110" i="13"/>
  <c r="K110" i="13"/>
  <c r="Y110" i="13" s="1"/>
  <c r="Z110" i="13" s="1"/>
  <c r="M109" i="13"/>
  <c r="K109" i="13"/>
  <c r="Y109" i="13" s="1"/>
  <c r="Z109" i="13" s="1"/>
  <c r="M107" i="13"/>
  <c r="K107" i="13"/>
  <c r="Y107" i="13" s="1"/>
  <c r="Z107" i="13" s="1"/>
  <c r="I124" i="13"/>
  <c r="I123" i="13"/>
  <c r="I122" i="13"/>
  <c r="I121" i="13"/>
  <c r="I120" i="13"/>
  <c r="I119" i="13"/>
  <c r="I118" i="13"/>
  <c r="I117" i="13"/>
  <c r="I116" i="13"/>
  <c r="I115" i="13"/>
  <c r="I114" i="13"/>
  <c r="I113" i="13"/>
  <c r="I112" i="13"/>
  <c r="I111" i="13"/>
  <c r="I110" i="13"/>
  <c r="I109" i="13"/>
  <c r="I108" i="13"/>
  <c r="I107" i="13"/>
  <c r="I106" i="13"/>
  <c r="I105" i="13"/>
  <c r="I104" i="13"/>
  <c r="I103" i="13"/>
  <c r="I102" i="13"/>
  <c r="I101" i="13"/>
  <c r="I100" i="13"/>
  <c r="M101" i="13"/>
  <c r="K101" i="13"/>
  <c r="Y101" i="13" s="1"/>
  <c r="Z101" i="13" s="1"/>
  <c r="M201" i="13"/>
  <c r="K201" i="13"/>
  <c r="Y201" i="13" s="1"/>
  <c r="Z201" i="13" s="1"/>
  <c r="M198" i="13"/>
  <c r="K198" i="13"/>
  <c r="Y198" i="13" s="1"/>
  <c r="Z198" i="13" s="1"/>
  <c r="M197" i="13"/>
  <c r="K197" i="13"/>
  <c r="Y197" i="13" s="1"/>
  <c r="Z197" i="13" s="1"/>
  <c r="K196" i="13"/>
  <c r="Y196" i="13" s="1"/>
  <c r="Z196" i="13" s="1"/>
  <c r="K195" i="13"/>
  <c r="Y195" i="13" s="1"/>
  <c r="Z195" i="13" s="1"/>
  <c r="M194" i="13"/>
  <c r="K194" i="13"/>
  <c r="Y194" i="13" s="1"/>
  <c r="Z194" i="13" s="1"/>
  <c r="I203" i="13"/>
  <c r="I202" i="13"/>
  <c r="I201" i="13"/>
  <c r="I200" i="13"/>
  <c r="I199" i="13"/>
  <c r="I198" i="13"/>
  <c r="I197" i="13"/>
  <c r="I196" i="13"/>
  <c r="I195" i="13"/>
  <c r="I194" i="13"/>
  <c r="F196" i="13"/>
  <c r="M196" i="13" s="1"/>
  <c r="F195" i="13"/>
  <c r="M195" i="13" s="1"/>
  <c r="M74" i="13"/>
  <c r="K74" i="13"/>
  <c r="Y74" i="13" s="1"/>
  <c r="Z74" i="13" s="1"/>
  <c r="M72" i="13"/>
  <c r="K72" i="13"/>
  <c r="Y72" i="13" s="1"/>
  <c r="Z72" i="13" s="1"/>
  <c r="M62" i="13"/>
  <c r="K62" i="13"/>
  <c r="Y62" i="13" s="1"/>
  <c r="Z62" i="13" s="1"/>
  <c r="M61" i="13"/>
  <c r="K61" i="13"/>
  <c r="Y61" i="13" s="1"/>
  <c r="Z61" i="13" s="1"/>
  <c r="M59" i="13"/>
  <c r="K59" i="13"/>
  <c r="Y59" i="13" s="1"/>
  <c r="Z59" i="13" s="1"/>
  <c r="M58" i="13"/>
  <c r="K58" i="13"/>
  <c r="Y58" i="13" s="1"/>
  <c r="Z58" i="13" s="1"/>
  <c r="M57" i="13"/>
  <c r="K57" i="13"/>
  <c r="Y57" i="13" s="1"/>
  <c r="Z57" i="13" s="1"/>
  <c r="M56" i="13"/>
  <c r="K56" i="13"/>
  <c r="Y56" i="13" s="1"/>
  <c r="Z56" i="13" s="1"/>
  <c r="M55" i="13"/>
  <c r="K55" i="13"/>
  <c r="Y55" i="13" s="1"/>
  <c r="Z55" i="13" s="1"/>
  <c r="M54" i="13"/>
  <c r="K54" i="13"/>
  <c r="Y54" i="13" s="1"/>
  <c r="Z54" i="13" s="1"/>
  <c r="M53" i="13"/>
  <c r="K53" i="13"/>
  <c r="Y53" i="13" s="1"/>
  <c r="Z53" i="13" s="1"/>
  <c r="M52" i="13"/>
  <c r="K52" i="13"/>
  <c r="Y52" i="13" s="1"/>
  <c r="Z52" i="13" s="1"/>
  <c r="M51" i="13"/>
  <c r="K51" i="13"/>
  <c r="Y51" i="13" s="1"/>
  <c r="Z51" i="13" s="1"/>
  <c r="M47" i="13"/>
  <c r="K47" i="13"/>
  <c r="Y47" i="13" s="1"/>
  <c r="Z47" i="13" s="1"/>
  <c r="M46" i="13"/>
  <c r="K46" i="13"/>
  <c r="Y46" i="13" s="1"/>
  <c r="Z46" i="13" s="1"/>
  <c r="M45" i="13"/>
  <c r="K45" i="13"/>
  <c r="Y45" i="13" s="1"/>
  <c r="Z45" i="13" s="1"/>
  <c r="I75" i="13"/>
  <c r="I76" i="13"/>
  <c r="I77" i="13"/>
  <c r="I78" i="13"/>
  <c r="I79" i="13"/>
  <c r="I80" i="13"/>
  <c r="I63" i="13"/>
  <c r="I74" i="13"/>
  <c r="I72" i="13"/>
  <c r="I62" i="13"/>
  <c r="I61" i="13"/>
  <c r="I59" i="13"/>
  <c r="I58" i="13"/>
  <c r="I57" i="13"/>
  <c r="I56" i="13"/>
  <c r="I55" i="13"/>
  <c r="I54" i="13"/>
  <c r="I53" i="13"/>
  <c r="I52" i="13"/>
  <c r="I47" i="13"/>
  <c r="I46" i="13"/>
  <c r="I45" i="13"/>
  <c r="I36" i="13"/>
  <c r="I38" i="13"/>
  <c r="I39" i="13"/>
  <c r="I43" i="13"/>
  <c r="I34" i="13"/>
  <c r="I35" i="13"/>
  <c r="F39" i="13"/>
  <c r="M39" i="13" s="1"/>
  <c r="F38" i="13"/>
  <c r="M38" i="13" s="1"/>
  <c r="F37" i="13"/>
  <c r="M37" i="13" s="1"/>
  <c r="F36" i="13"/>
  <c r="M36" i="13" s="1"/>
  <c r="F34" i="13"/>
  <c r="M34" i="13" s="1"/>
  <c r="F35" i="13"/>
  <c r="M35" i="13" s="1"/>
  <c r="K204" i="13"/>
  <c r="Y204" i="13" s="1"/>
  <c r="Z204" i="13" s="1"/>
  <c r="K160" i="13"/>
  <c r="Y160" i="13" s="1"/>
  <c r="Z160" i="13" s="1"/>
  <c r="K170" i="13"/>
  <c r="Y170" i="13" s="1"/>
  <c r="Z170" i="13" s="1"/>
  <c r="K169" i="13"/>
  <c r="Y169" i="13" s="1"/>
  <c r="Z169" i="13" s="1"/>
  <c r="M23" i="13"/>
  <c r="M28" i="13"/>
  <c r="K347" i="13"/>
  <c r="Y347" i="13" s="1"/>
  <c r="Z347" i="13" s="1"/>
  <c r="K346" i="13"/>
  <c r="Y346" i="13" s="1"/>
  <c r="Z346" i="13" s="1"/>
  <c r="K345" i="13"/>
  <c r="Y345" i="13" s="1"/>
  <c r="Z345" i="13" s="1"/>
  <c r="K396" i="13"/>
  <c r="Y396" i="13" s="1"/>
  <c r="Z396" i="13" s="1"/>
  <c r="K395" i="13"/>
  <c r="Y395" i="13" s="1"/>
  <c r="Z395" i="13" s="1"/>
  <c r="K394" i="13"/>
  <c r="Y394" i="13" s="1"/>
  <c r="Z394" i="13" s="1"/>
  <c r="K393" i="13"/>
  <c r="Y393" i="13" s="1"/>
  <c r="Z393" i="13" s="1"/>
  <c r="K392" i="13"/>
  <c r="Y392" i="13" s="1"/>
  <c r="Z392" i="13" s="1"/>
  <c r="K391" i="13"/>
  <c r="Y391" i="13" s="1"/>
  <c r="Z391" i="13" s="1"/>
  <c r="K390" i="13"/>
  <c r="Y390" i="13" s="1"/>
  <c r="Z390" i="13" s="1"/>
  <c r="K389" i="13"/>
  <c r="Y389" i="13" s="1"/>
  <c r="Z389" i="13" s="1"/>
  <c r="K388" i="13"/>
  <c r="Y388" i="13" s="1"/>
  <c r="Z388" i="13" s="1"/>
  <c r="K387" i="13"/>
  <c r="Y387" i="13" s="1"/>
  <c r="Z387" i="13" s="1"/>
  <c r="K386" i="13"/>
  <c r="Y386" i="13" s="1"/>
  <c r="Z386" i="13" s="1"/>
  <c r="I345" i="13"/>
  <c r="K303" i="13"/>
  <c r="Y303" i="13" s="1"/>
  <c r="Z303" i="13" s="1"/>
  <c r="K308" i="13"/>
  <c r="Y308" i="13" s="1"/>
  <c r="Z308" i="13" s="1"/>
  <c r="F160" i="13"/>
  <c r="D160" i="13" s="1"/>
  <c r="F170" i="13"/>
  <c r="D170" i="13" s="1"/>
  <c r="F169" i="13"/>
  <c r="D169" i="13" s="1"/>
  <c r="F204" i="13"/>
  <c r="D204" i="13" s="1"/>
  <c r="M102" i="13"/>
  <c r="Q39" i="13"/>
  <c r="O39" i="13" s="1"/>
  <c r="W39" i="13" s="1"/>
  <c r="Q38" i="13"/>
  <c r="O38" i="13" s="1"/>
  <c r="W38" i="13" s="1"/>
  <c r="Q37" i="13"/>
  <c r="O37" i="13" s="1"/>
  <c r="U37" i="13" s="1"/>
  <c r="Q36" i="13"/>
  <c r="O36" i="13" s="1"/>
  <c r="U36" i="13" s="1"/>
  <c r="D33" i="13"/>
  <c r="F33" i="13" s="1"/>
  <c r="M33" i="13" s="1"/>
  <c r="D207" i="13"/>
  <c r="K207" i="13" s="1"/>
  <c r="Y207" i="13" s="1"/>
  <c r="Z207" i="13" s="1"/>
  <c r="Q199" i="13"/>
  <c r="M24" i="13"/>
  <c r="M25" i="13"/>
  <c r="M26" i="13"/>
  <c r="M27" i="13"/>
  <c r="K25" i="13"/>
  <c r="Y25" i="13" s="1"/>
  <c r="Z25" i="13" s="1"/>
  <c r="K26" i="13"/>
  <c r="Y26" i="13" s="1"/>
  <c r="Z26" i="13" s="1"/>
  <c r="K27" i="13"/>
  <c r="Y27" i="13" s="1"/>
  <c r="Z27" i="13" s="1"/>
  <c r="K28" i="13"/>
  <c r="Y28" i="13" s="1"/>
  <c r="Z28" i="13" s="1"/>
  <c r="I20" i="13"/>
  <c r="I21" i="13"/>
  <c r="I22" i="13"/>
  <c r="I23" i="13"/>
  <c r="I24" i="13"/>
  <c r="I25" i="13"/>
  <c r="I26" i="13"/>
  <c r="I27" i="13"/>
  <c r="I28" i="13"/>
  <c r="I33" i="13"/>
  <c r="I6" i="13"/>
  <c r="I7" i="13"/>
  <c r="I8" i="13"/>
  <c r="I9" i="13"/>
  <c r="I10" i="13"/>
  <c r="I11" i="13"/>
  <c r="I12" i="13"/>
  <c r="I13" i="13"/>
  <c r="I14" i="13"/>
  <c r="I15" i="13"/>
  <c r="I16" i="13"/>
  <c r="I17" i="13"/>
  <c r="I18" i="13"/>
  <c r="I19" i="13"/>
  <c r="I96" i="13"/>
  <c r="I97" i="13"/>
  <c r="I98" i="13"/>
  <c r="I207" i="13"/>
  <c r="I208" i="13"/>
  <c r="I205" i="13"/>
  <c r="I206" i="13"/>
  <c r="I188" i="13"/>
  <c r="I189" i="13"/>
  <c r="I184" i="13"/>
  <c r="I172" i="13"/>
  <c r="I224" i="13"/>
  <c r="I241" i="13"/>
  <c r="I242" i="13"/>
  <c r="I243" i="13"/>
  <c r="I244" i="13"/>
  <c r="I245" i="13"/>
  <c r="I247" i="13"/>
  <c r="I248" i="13"/>
  <c r="I249" i="13"/>
  <c r="I273" i="13"/>
  <c r="I274" i="13"/>
  <c r="I307" i="13"/>
  <c r="I306" i="13"/>
  <c r="K6" i="13"/>
  <c r="Y6" i="13" s="1"/>
  <c r="Z6" i="13" s="1"/>
  <c r="M6" i="13"/>
  <c r="K7" i="13"/>
  <c r="Y7" i="13" s="1"/>
  <c r="Z7" i="13" s="1"/>
  <c r="M7" i="13"/>
  <c r="K8" i="13"/>
  <c r="Y8" i="13" s="1"/>
  <c r="Z8" i="13" s="1"/>
  <c r="M8" i="13"/>
  <c r="K9" i="13"/>
  <c r="Y9" i="13" s="1"/>
  <c r="Z9" i="13" s="1"/>
  <c r="M9" i="13"/>
  <c r="K10" i="13"/>
  <c r="Y10" i="13" s="1"/>
  <c r="Z10" i="13" s="1"/>
  <c r="M10" i="13"/>
  <c r="K11" i="13"/>
  <c r="Y11" i="13" s="1"/>
  <c r="Z11" i="13" s="1"/>
  <c r="M11" i="13"/>
  <c r="K12" i="13"/>
  <c r="Y12" i="13" s="1"/>
  <c r="Z12" i="13" s="1"/>
  <c r="M12" i="13"/>
  <c r="K13" i="13"/>
  <c r="Y13" i="13" s="1"/>
  <c r="Z13" i="13" s="1"/>
  <c r="M13" i="13"/>
  <c r="K14" i="13"/>
  <c r="Y14" i="13" s="1"/>
  <c r="Z14" i="13" s="1"/>
  <c r="M14" i="13"/>
  <c r="K15" i="13"/>
  <c r="Y15" i="13" s="1"/>
  <c r="Z15" i="13" s="1"/>
  <c r="M15" i="13"/>
  <c r="K16" i="13"/>
  <c r="Y16" i="13" s="1"/>
  <c r="Z16" i="13" s="1"/>
  <c r="M16" i="13"/>
  <c r="K17" i="13"/>
  <c r="Y17" i="13" s="1"/>
  <c r="Z17" i="13" s="1"/>
  <c r="M17" i="13"/>
  <c r="K18" i="13"/>
  <c r="Y18" i="13" s="1"/>
  <c r="Z18" i="13" s="1"/>
  <c r="M18" i="13"/>
  <c r="K19" i="13"/>
  <c r="Y19" i="13" s="1"/>
  <c r="Z19" i="13" s="1"/>
  <c r="K20" i="13"/>
  <c r="Y20" i="13" s="1"/>
  <c r="Z20" i="13" s="1"/>
  <c r="M20" i="13"/>
  <c r="K21" i="13"/>
  <c r="Y21" i="13" s="1"/>
  <c r="Z21" i="13" s="1"/>
  <c r="M21" i="13"/>
  <c r="K22" i="13"/>
  <c r="Y22" i="13" s="1"/>
  <c r="Z22" i="13" s="1"/>
  <c r="M22" i="13"/>
  <c r="K23" i="13"/>
  <c r="Y23" i="13" s="1"/>
  <c r="Z23" i="13" s="1"/>
  <c r="K24" i="13"/>
  <c r="Y24" i="13" s="1"/>
  <c r="Z24" i="13" s="1"/>
  <c r="Q160" i="13"/>
  <c r="Q154" i="13"/>
  <c r="Q151" i="13"/>
  <c r="Q241" i="13"/>
  <c r="Q194" i="13"/>
  <c r="Q115" i="13"/>
  <c r="Q114" i="13"/>
  <c r="Q113" i="13"/>
  <c r="Q112" i="13"/>
  <c r="Q111" i="13"/>
  <c r="Q110" i="13"/>
  <c r="B175" i="13"/>
  <c r="W175" i="13" s="1"/>
  <c r="B174" i="13"/>
  <c r="W174" i="13" s="1"/>
  <c r="U163" i="13"/>
  <c r="U162" i="13"/>
  <c r="O33" i="13"/>
  <c r="Q244" i="13"/>
  <c r="M244" i="13"/>
  <c r="D244" i="13"/>
  <c r="K244" i="13" s="1"/>
  <c r="Y244" i="13" s="1"/>
  <c r="Z244" i="13" s="1"/>
  <c r="M241" i="13"/>
  <c r="D241" i="13"/>
  <c r="K241" i="13" s="1"/>
  <c r="Y241" i="13" s="1"/>
  <c r="Z241" i="13" s="1"/>
  <c r="U150" i="13"/>
  <c r="F90" i="13"/>
  <c r="M90" i="13" s="1"/>
  <c r="Q262" i="38"/>
  <c r="Q261" i="38"/>
  <c r="Q260" i="38"/>
  <c r="Q259" i="38"/>
  <c r="Q258" i="38"/>
  <c r="Q257" i="38"/>
  <c r="Q256" i="38"/>
  <c r="Q218" i="38"/>
  <c r="Q217" i="38"/>
  <c r="Q216" i="38"/>
  <c r="Q215" i="38"/>
  <c r="Q214" i="38"/>
  <c r="Q213" i="38"/>
  <c r="Q212" i="38"/>
  <c r="Q174" i="38"/>
  <c r="Q173" i="38"/>
  <c r="Q172" i="38"/>
  <c r="Q171" i="38"/>
  <c r="Q170" i="38"/>
  <c r="Q169" i="38"/>
  <c r="Q168" i="38"/>
  <c r="Q130" i="38"/>
  <c r="Q129" i="38"/>
  <c r="Q128" i="38"/>
  <c r="Q127" i="38"/>
  <c r="Q126" i="38"/>
  <c r="Q125" i="38"/>
  <c r="Q124" i="38"/>
  <c r="Q86" i="38"/>
  <c r="Q85" i="38"/>
  <c r="Q84" i="38"/>
  <c r="Q83" i="38"/>
  <c r="Q82" i="38"/>
  <c r="Q81" i="38"/>
  <c r="Q80" i="38"/>
  <c r="Q41" i="38"/>
  <c r="Q37" i="38"/>
  <c r="T37" i="38"/>
  <c r="T33" i="38"/>
  <c r="K34" i="13"/>
  <c r="Y34" i="13" s="1"/>
  <c r="Z34" i="13" s="1"/>
  <c r="Q6" i="13"/>
  <c r="U7" i="13"/>
  <c r="D96" i="13"/>
  <c r="K96" i="13" s="1"/>
  <c r="Y96" i="13" s="1"/>
  <c r="Z96" i="13" s="1"/>
  <c r="M96" i="13"/>
  <c r="F97" i="13"/>
  <c r="M97" i="13" s="1"/>
  <c r="K97" i="13"/>
  <c r="Y97" i="13" s="1"/>
  <c r="Z97" i="13" s="1"/>
  <c r="Q109" i="13"/>
  <c r="D164" i="13"/>
  <c r="E19" i="38" s="1"/>
  <c r="H19" i="38" s="1"/>
  <c r="D167" i="13"/>
  <c r="K167" i="13" s="1"/>
  <c r="Y167" i="13" s="1"/>
  <c r="Z167" i="13" s="1"/>
  <c r="M167" i="13"/>
  <c r="D168" i="13"/>
  <c r="K168" i="13" s="1"/>
  <c r="Y168" i="13" s="1"/>
  <c r="Z168" i="13" s="1"/>
  <c r="M168" i="13"/>
  <c r="U161" i="13"/>
  <c r="D136" i="13"/>
  <c r="K136" i="13" s="1"/>
  <c r="Y136" i="13" s="1"/>
  <c r="Z136" i="13" s="1"/>
  <c r="U151" i="13"/>
  <c r="D153" i="13"/>
  <c r="K153" i="13" s="1"/>
  <c r="Y153" i="13" s="1"/>
  <c r="Z153" i="13" s="1"/>
  <c r="U153" i="13"/>
  <c r="D154" i="13"/>
  <c r="K154" i="13" s="1"/>
  <c r="Y154" i="13" s="1"/>
  <c r="Z154" i="13" s="1"/>
  <c r="U154" i="13"/>
  <c r="D158" i="13"/>
  <c r="K158" i="13" s="1"/>
  <c r="Y158" i="13" s="1"/>
  <c r="Z158" i="13" s="1"/>
  <c r="U158" i="13"/>
  <c r="D171" i="13"/>
  <c r="K171" i="13" s="1"/>
  <c r="Y171" i="13" s="1"/>
  <c r="Z171" i="13" s="1"/>
  <c r="M171" i="13"/>
  <c r="U171" i="13"/>
  <c r="D157" i="13"/>
  <c r="K157" i="13" s="1"/>
  <c r="Y157" i="13" s="1"/>
  <c r="Z157" i="13" s="1"/>
  <c r="U159" i="13"/>
  <c r="F172" i="13"/>
  <c r="D172" i="13" s="1"/>
  <c r="K172" i="13" s="1"/>
  <c r="Y172" i="13" s="1"/>
  <c r="Z172" i="13" s="1"/>
  <c r="Q195" i="13"/>
  <c r="Q196" i="13"/>
  <c r="Q207" i="13"/>
  <c r="U207" i="13"/>
  <c r="Q201" i="13"/>
  <c r="U201" i="13"/>
  <c r="U197" i="13"/>
  <c r="U198" i="13"/>
  <c r="U208" i="13"/>
  <c r="D202" i="13"/>
  <c r="K202" i="13" s="1"/>
  <c r="Y202" i="13" s="1"/>
  <c r="Z202" i="13" s="1"/>
  <c r="U202" i="13"/>
  <c r="D203" i="13"/>
  <c r="K203" i="13" s="1"/>
  <c r="Y203" i="13" s="1"/>
  <c r="Z203" i="13" s="1"/>
  <c r="U203" i="13"/>
  <c r="D106" i="13"/>
  <c r="K106" i="13" s="1"/>
  <c r="Y106" i="13" s="1"/>
  <c r="Z106" i="13" s="1"/>
  <c r="Q205" i="13"/>
  <c r="Q206" i="13"/>
  <c r="D100" i="13"/>
  <c r="K100" i="13" s="1"/>
  <c r="Y100" i="13" s="1"/>
  <c r="Z100" i="13" s="1"/>
  <c r="M100" i="13"/>
  <c r="Q100" i="13"/>
  <c r="Q101" i="13"/>
  <c r="D127" i="13"/>
  <c r="K127" i="13" s="1"/>
  <c r="Y127" i="13" s="1"/>
  <c r="Z127" i="13" s="1"/>
  <c r="K102" i="13"/>
  <c r="Y102" i="13" s="1"/>
  <c r="Z102" i="13" s="1"/>
  <c r="Q102" i="13"/>
  <c r="D243" i="13"/>
  <c r="K243" i="13" s="1"/>
  <c r="Y243" i="13" s="1"/>
  <c r="Z243" i="13" s="1"/>
  <c r="M243" i="13"/>
  <c r="Q243" i="13"/>
  <c r="D242" i="13"/>
  <c r="K242" i="13" s="1"/>
  <c r="Y242" i="13" s="1"/>
  <c r="Z242" i="13" s="1"/>
  <c r="M242" i="13"/>
  <c r="Q242" i="13"/>
  <c r="D245" i="13"/>
  <c r="K245" i="13" s="1"/>
  <c r="Y245" i="13" s="1"/>
  <c r="Z245" i="13" s="1"/>
  <c r="M245" i="13"/>
  <c r="K274" i="13"/>
  <c r="Y274" i="13" s="1"/>
  <c r="Z274" i="13" s="1"/>
  <c r="Q176" i="13"/>
  <c r="Q177" i="13"/>
  <c r="U188" i="13"/>
  <c r="U189" i="13"/>
  <c r="D179" i="13"/>
  <c r="K179" i="13" s="1"/>
  <c r="Y179" i="13" s="1"/>
  <c r="Z179" i="13" s="1"/>
  <c r="D183" i="13"/>
  <c r="K183" i="13" s="1"/>
  <c r="Y183" i="13" s="1"/>
  <c r="Z183" i="13" s="1"/>
  <c r="U183" i="13"/>
  <c r="D184" i="13"/>
  <c r="K184" i="13" s="1"/>
  <c r="Y184" i="13" s="1"/>
  <c r="Z184" i="13" s="1"/>
  <c r="U184" i="13"/>
  <c r="D182" i="13"/>
  <c r="K182" i="13" s="1"/>
  <c r="Y182" i="13" s="1"/>
  <c r="Z182" i="13" s="1"/>
  <c r="U185" i="13"/>
  <c r="U186" i="13"/>
  <c r="U187" i="13"/>
  <c r="Q249" i="13"/>
  <c r="D262" i="13"/>
  <c r="K262" i="13" s="1"/>
  <c r="Y262" i="13" s="1"/>
  <c r="Z262" i="13" s="1"/>
  <c r="D263" i="13"/>
  <c r="K263" i="13" s="1"/>
  <c r="Y263" i="13" s="1"/>
  <c r="Z263" i="13" s="1"/>
  <c r="D265" i="13"/>
  <c r="K265" i="13" s="1"/>
  <c r="Y265" i="13" s="1"/>
  <c r="Z265" i="13" s="1"/>
  <c r="D267" i="13"/>
  <c r="K267" i="13" s="1"/>
  <c r="Y267" i="13" s="1"/>
  <c r="Z267" i="13" s="1"/>
  <c r="D103" i="13"/>
  <c r="Q103" i="13"/>
  <c r="D120" i="13"/>
  <c r="K120" i="13" s="1"/>
  <c r="Y120" i="13" s="1"/>
  <c r="Z120" i="13" s="1"/>
  <c r="D121" i="13"/>
  <c r="K121" i="13" s="1"/>
  <c r="Y121" i="13" s="1"/>
  <c r="Z121" i="13" s="1"/>
  <c r="D122" i="13"/>
  <c r="K122" i="13" s="1"/>
  <c r="Y122" i="13" s="1"/>
  <c r="Z122" i="13" s="1"/>
  <c r="D123" i="13"/>
  <c r="K123" i="13" s="1"/>
  <c r="Y123" i="13" s="1"/>
  <c r="Z123" i="13" s="1"/>
  <c r="D124" i="13"/>
  <c r="K124" i="13" s="1"/>
  <c r="Y124" i="13" s="1"/>
  <c r="Z124" i="13" s="1"/>
  <c r="U224" i="13"/>
  <c r="K232" i="13"/>
  <c r="D222" i="13"/>
  <c r="K222" i="13" s="1"/>
  <c r="Y222" i="13" s="1"/>
  <c r="Z222" i="13" s="1"/>
  <c r="Q222" i="13"/>
  <c r="D233" i="13"/>
  <c r="K233" i="13" s="1"/>
  <c r="Y233" i="13" s="1"/>
  <c r="Z233" i="13" s="1"/>
  <c r="U233" i="13"/>
  <c r="Q104" i="13"/>
  <c r="Q223" i="13"/>
  <c r="K234" i="13"/>
  <c r="Q235" i="13"/>
  <c r="D236" i="13"/>
  <c r="K236" i="13" s="1"/>
  <c r="Y236" i="13" s="1"/>
  <c r="Z236" i="13" s="1"/>
  <c r="Q236" i="13"/>
  <c r="AD6" i="38"/>
  <c r="AC7" i="38"/>
  <c r="AD7" i="38" s="1"/>
  <c r="AC8" i="38"/>
  <c r="AC9" i="38"/>
  <c r="AC10" i="38"/>
  <c r="AC11" i="38"/>
  <c r="AC12" i="38"/>
  <c r="AC13" i="38"/>
  <c r="AC14" i="38"/>
  <c r="AC15" i="38"/>
  <c r="AC16" i="38"/>
  <c r="AC17" i="38"/>
  <c r="AC18" i="38"/>
  <c r="T32" i="38"/>
  <c r="T34" i="38"/>
  <c r="T35" i="38"/>
  <c r="T36" i="38"/>
  <c r="T38" i="38"/>
  <c r="Q36" i="38"/>
  <c r="Q38" i="38"/>
  <c r="Q39" i="38"/>
  <c r="Q40" i="38"/>
  <c r="Q42" i="38"/>
  <c r="AD50" i="38"/>
  <c r="AC51" i="38"/>
  <c r="AC52" i="38"/>
  <c r="AC53" i="38"/>
  <c r="AC54" i="38"/>
  <c r="AC55" i="38"/>
  <c r="AC56" i="38"/>
  <c r="AC57" i="38"/>
  <c r="AC58" i="38"/>
  <c r="AC59" i="38"/>
  <c r="AC60" i="38"/>
  <c r="AC61" i="38"/>
  <c r="AC62" i="38"/>
  <c r="AD94" i="38"/>
  <c r="AC95" i="38"/>
  <c r="AC96" i="38"/>
  <c r="AC97" i="38"/>
  <c r="AC98" i="38"/>
  <c r="AC99" i="38"/>
  <c r="AC100" i="38"/>
  <c r="AC101" i="38"/>
  <c r="AC102" i="38"/>
  <c r="AC103" i="38"/>
  <c r="AC104" i="38"/>
  <c r="AC105" i="38"/>
  <c r="AC106" i="38"/>
  <c r="AD138" i="38"/>
  <c r="AC139" i="38"/>
  <c r="AC140" i="38"/>
  <c r="AC141" i="38"/>
  <c r="AC142" i="38"/>
  <c r="AC143" i="38"/>
  <c r="AC144" i="38"/>
  <c r="AC145" i="38"/>
  <c r="AC146" i="38"/>
  <c r="AC147" i="38"/>
  <c r="AC148" i="38"/>
  <c r="AC149" i="38"/>
  <c r="AC150" i="38"/>
  <c r="AD182" i="38"/>
  <c r="AC183" i="38"/>
  <c r="AC184" i="38"/>
  <c r="AC185" i="38"/>
  <c r="AC186" i="38"/>
  <c r="AC187" i="38"/>
  <c r="AC188" i="38"/>
  <c r="AC189" i="38"/>
  <c r="AC190" i="38"/>
  <c r="AC191" i="38"/>
  <c r="AC192" i="38"/>
  <c r="AC193" i="38"/>
  <c r="AC194" i="38"/>
  <c r="J223" i="38"/>
  <c r="B258" i="38" s="1"/>
  <c r="N223" i="38"/>
  <c r="AE239" i="38" s="1"/>
  <c r="N224" i="38"/>
  <c r="J224" i="38"/>
  <c r="AD226" i="38"/>
  <c r="AC227" i="38"/>
  <c r="AC228" i="38"/>
  <c r="AC229" i="38"/>
  <c r="AC230" i="38"/>
  <c r="AC231" i="38"/>
  <c r="AC232" i="38"/>
  <c r="AC233" i="38"/>
  <c r="AC234" i="38"/>
  <c r="AC235" i="38"/>
  <c r="AC236" i="38"/>
  <c r="AC237" i="38"/>
  <c r="AC238" i="38"/>
  <c r="D228" i="38"/>
  <c r="G228" i="38"/>
  <c r="H228" i="38"/>
  <c r="D253" i="38"/>
  <c r="G253" i="38"/>
  <c r="H253" i="38"/>
  <c r="D265" i="38"/>
  <c r="AE48" i="38"/>
  <c r="AE107" i="38"/>
  <c r="F266" i="13"/>
  <c r="D266" i="13" s="1"/>
  <c r="K266" i="13" s="1"/>
  <c r="Y266" i="13" s="1"/>
  <c r="Z266" i="13" s="1"/>
  <c r="Q245" i="13"/>
  <c r="O340" i="13"/>
  <c r="W340" i="13" s="1"/>
  <c r="K98" i="13"/>
  <c r="Y98" i="13" s="1"/>
  <c r="Z98" i="13" s="1"/>
  <c r="AE64" i="38"/>
  <c r="AE63" i="38"/>
  <c r="AE49" i="38"/>
  <c r="AE137" i="38"/>
  <c r="AE108" i="38"/>
  <c r="N5" i="38"/>
  <c r="W138" i="13"/>
  <c r="AF49" i="38"/>
  <c r="AD227" i="38"/>
  <c r="AF64" i="38"/>
  <c r="AD95" i="38"/>
  <c r="AD96" i="38" s="1"/>
  <c r="AD97" i="38" s="1"/>
  <c r="AD98" i="38" s="1"/>
  <c r="AD99" i="38" s="1"/>
  <c r="AD100" i="38" s="1"/>
  <c r="AD101" i="38" s="1"/>
  <c r="AD102" i="38" s="1"/>
  <c r="AE92" i="38"/>
  <c r="AD139" i="38"/>
  <c r="AD140" i="38" s="1"/>
  <c r="AD141" i="38" s="1"/>
  <c r="AE152" i="38"/>
  <c r="E13" i="38"/>
  <c r="H13" i="38" s="1"/>
  <c r="AF48" i="38"/>
  <c r="B214" i="38" l="1"/>
  <c r="J93" i="38"/>
  <c r="AE224" i="38"/>
  <c r="AD228" i="38"/>
  <c r="AD229" i="38" s="1"/>
  <c r="AD230" i="38" s="1"/>
  <c r="J225" i="38"/>
  <c r="AE225" i="38"/>
  <c r="AE180" i="38"/>
  <c r="J181" i="38"/>
  <c r="AE136" i="38"/>
  <c r="B170" i="38"/>
  <c r="J137" i="38"/>
  <c r="AD142" i="38"/>
  <c r="AD143" i="38" s="1"/>
  <c r="AD144" i="38" s="1"/>
  <c r="AD145" i="38" s="1"/>
  <c r="AD146" i="38" s="1"/>
  <c r="AD147" i="38" s="1"/>
  <c r="AD148" i="38" s="1"/>
  <c r="AD149" i="38" s="1"/>
  <c r="AD150" i="38" s="1"/>
  <c r="AD151" i="38" s="1"/>
  <c r="AD152" i="38" s="1"/>
  <c r="N137" i="38"/>
  <c r="AF151" i="38" s="1"/>
  <c r="AE93" i="38"/>
  <c r="B126" i="38"/>
  <c r="AD8" i="38"/>
  <c r="AD9" i="38" s="1"/>
  <c r="AD10" i="38" s="1"/>
  <c r="AD11" i="38" s="1"/>
  <c r="AD12" i="38" s="1"/>
  <c r="AD13" i="38" s="1"/>
  <c r="AD14" i="38" s="1"/>
  <c r="AD15" i="38" s="1"/>
  <c r="AD16" i="38" s="1"/>
  <c r="AD17" i="38" s="1"/>
  <c r="AD18" i="38" s="1"/>
  <c r="AD19" i="38" s="1"/>
  <c r="AD20" i="38" s="1"/>
  <c r="AD51" i="38"/>
  <c r="AD52" i="38" s="1"/>
  <c r="AD53" i="38" s="1"/>
  <c r="AD54" i="38" s="1"/>
  <c r="AD55" i="38" s="1"/>
  <c r="AD56" i="38" s="1"/>
  <c r="AD57" i="38" s="1"/>
  <c r="AD58" i="38" s="1"/>
  <c r="AD59" i="38" s="1"/>
  <c r="AD60" i="38" s="1"/>
  <c r="AD61" i="38" s="1"/>
  <c r="AD62" i="38" s="1"/>
  <c r="AD63" i="38" s="1"/>
  <c r="AD64" i="38" s="1"/>
  <c r="AE4" i="38"/>
  <c r="AD103" i="38"/>
  <c r="AD104" i="38" s="1"/>
  <c r="AD105" i="38" s="1"/>
  <c r="AD106" i="38" s="1"/>
  <c r="AD107" i="38" s="1"/>
  <c r="AD108" i="38" s="1"/>
  <c r="AD231" i="38"/>
  <c r="AD232" i="38" s="1"/>
  <c r="AD233" i="38" s="1"/>
  <c r="AD234" i="38" s="1"/>
  <c r="AD235" i="38" s="1"/>
  <c r="AD236" i="38" s="1"/>
  <c r="AD237" i="38" s="1"/>
  <c r="AD238" i="38" s="1"/>
  <c r="AD239" i="38" s="1"/>
  <c r="AD240" i="38" s="1"/>
  <c r="AF92" i="38"/>
  <c r="AF93" i="38"/>
  <c r="AF225" i="38"/>
  <c r="AD183" i="38"/>
  <c r="AD184" i="38" s="1"/>
  <c r="AD185" i="38" s="1"/>
  <c r="AD186" i="38" s="1"/>
  <c r="AD187" i="38" s="1"/>
  <c r="AD188" i="38" s="1"/>
  <c r="AD189" i="38" s="1"/>
  <c r="AD190" i="38" s="1"/>
  <c r="AD191" i="38" s="1"/>
  <c r="AD192" i="38" s="1"/>
  <c r="AD193" i="38" s="1"/>
  <c r="AD194" i="38" s="1"/>
  <c r="AD195" i="38" s="1"/>
  <c r="AD196" i="38" s="1"/>
  <c r="N93" i="38"/>
  <c r="AF108" i="38" s="1"/>
  <c r="W84" i="13"/>
  <c r="W31" i="13"/>
  <c r="U81" i="13"/>
  <c r="W81" i="13"/>
  <c r="X28" i="13"/>
  <c r="U31" i="13"/>
  <c r="J5" i="38"/>
  <c r="B43" i="38" s="1"/>
  <c r="X138" i="13"/>
  <c r="M305" i="13"/>
  <c r="X84" i="13"/>
  <c r="U38" i="13"/>
  <c r="K81" i="13"/>
  <c r="Y81" i="13" s="1"/>
  <c r="Z81" i="13" s="1"/>
  <c r="W32" i="13"/>
  <c r="X36" i="13"/>
  <c r="W36" i="13"/>
  <c r="W14" i="13"/>
  <c r="W28" i="13"/>
  <c r="U83" i="13"/>
  <c r="X83" i="13"/>
  <c r="U26" i="13"/>
  <c r="X26" i="13"/>
  <c r="U39" i="13"/>
  <c r="U27" i="13"/>
  <c r="X27" i="13"/>
  <c r="X38" i="13"/>
  <c r="U137" i="13"/>
  <c r="W137" i="13"/>
  <c r="W27" i="13"/>
  <c r="U14" i="13"/>
  <c r="W37" i="13"/>
  <c r="X37" i="13"/>
  <c r="U32" i="13"/>
  <c r="X137" i="13"/>
  <c r="H17" i="38"/>
  <c r="F39" i="38" s="1"/>
  <c r="F171" i="38"/>
  <c r="F122" i="38"/>
  <c r="I120" i="38" s="1"/>
  <c r="F127" i="38"/>
  <c r="F254" i="38"/>
  <c r="F256" i="38" s="1"/>
  <c r="D258" i="38" s="1"/>
  <c r="F258" i="38" s="1"/>
  <c r="F215" i="38"/>
  <c r="F259" i="38"/>
  <c r="F265" i="38" s="1"/>
  <c r="F166" i="38"/>
  <c r="I148" i="38" s="1"/>
  <c r="U33" i="13"/>
  <c r="X33" i="13"/>
  <c r="W33" i="13"/>
  <c r="F210" i="38"/>
  <c r="I202" i="38" s="1"/>
  <c r="U15" i="13"/>
  <c r="W15" i="13"/>
  <c r="W85" i="13"/>
  <c r="U85" i="13"/>
  <c r="X39" i="13"/>
  <c r="AE19" i="38"/>
  <c r="AF20" i="38"/>
  <c r="AF19" i="38"/>
  <c r="AF63" i="38"/>
  <c r="AF195" i="38"/>
  <c r="N225" i="38"/>
  <c r="AE240" i="38"/>
  <c r="AE196" i="38"/>
  <c r="AE195" i="38"/>
  <c r="F34" i="38"/>
  <c r="I22" i="38" s="1"/>
  <c r="L144" i="38" l="1"/>
  <c r="J144" i="38" s="1"/>
  <c r="AF140" i="38" s="1"/>
  <c r="L30" i="38"/>
  <c r="AF224" i="38"/>
  <c r="B263" i="38"/>
  <c r="AF180" i="38"/>
  <c r="B219" i="38"/>
  <c r="AF181" i="38"/>
  <c r="L194" i="38"/>
  <c r="J194" i="38" s="1"/>
  <c r="AF187" i="38" s="1"/>
  <c r="AF152" i="38"/>
  <c r="B175" i="38"/>
  <c r="AF136" i="38"/>
  <c r="AF137" i="38"/>
  <c r="B131" i="38"/>
  <c r="AF4" i="38"/>
  <c r="AF5" i="38"/>
  <c r="AF107" i="38"/>
  <c r="L110" i="38"/>
  <c r="J110" i="38" s="1"/>
  <c r="AF101" i="38" s="1"/>
  <c r="L196" i="38"/>
  <c r="J196" i="38" s="1"/>
  <c r="AF188" i="38" s="1"/>
  <c r="AF60" i="38"/>
  <c r="AF52" i="38"/>
  <c r="I114" i="38"/>
  <c r="AE103" i="38" s="1"/>
  <c r="I252" i="38"/>
  <c r="K252" i="38" s="1"/>
  <c r="F264" i="38"/>
  <c r="G264" i="38" s="1"/>
  <c r="I240" i="38"/>
  <c r="AE232" i="38" s="1"/>
  <c r="L164" i="38"/>
  <c r="J164" i="38" s="1"/>
  <c r="AF150" i="38" s="1"/>
  <c r="I248" i="38"/>
  <c r="O248" i="38" s="1"/>
  <c r="I244" i="38"/>
  <c r="AE234" i="38" s="1"/>
  <c r="I250" i="38"/>
  <c r="AE237" i="38" s="1"/>
  <c r="L162" i="38"/>
  <c r="J162" i="38" s="1"/>
  <c r="AF149" i="38" s="1"/>
  <c r="I238" i="38"/>
  <c r="K238" i="38" s="1"/>
  <c r="AF50" i="38"/>
  <c r="AF56" i="38"/>
  <c r="AF54" i="38"/>
  <c r="AF59" i="38"/>
  <c r="AF55" i="38"/>
  <c r="AF61" i="38"/>
  <c r="AF57" i="38"/>
  <c r="AF51" i="38"/>
  <c r="AF53" i="38"/>
  <c r="I208" i="38"/>
  <c r="K208" i="38" s="1"/>
  <c r="I164" i="38"/>
  <c r="K164" i="38" s="1"/>
  <c r="I142" i="38"/>
  <c r="K142" i="38" s="1"/>
  <c r="I190" i="38"/>
  <c r="O190" i="38" s="1"/>
  <c r="I154" i="38"/>
  <c r="O154" i="38" s="1"/>
  <c r="Q154" i="38" s="1"/>
  <c r="I160" i="38"/>
  <c r="AE148" i="38" s="1"/>
  <c r="O148" i="38"/>
  <c r="Q148" i="38" s="1"/>
  <c r="AE142" i="38"/>
  <c r="K148" i="38"/>
  <c r="L202" i="38"/>
  <c r="J202" i="38" s="1"/>
  <c r="AF191" i="38" s="1"/>
  <c r="L188" i="38"/>
  <c r="J188" i="38" s="1"/>
  <c r="AF184" i="38" s="1"/>
  <c r="L198" i="38"/>
  <c r="J198" i="38" s="1"/>
  <c r="AF189" i="38" s="1"/>
  <c r="L192" i="38"/>
  <c r="J192" i="38" s="1"/>
  <c r="AF186" i="38" s="1"/>
  <c r="L200" i="38"/>
  <c r="J200" i="38" s="1"/>
  <c r="AF190" i="38" s="1"/>
  <c r="L204" i="38"/>
  <c r="J204" i="38" s="1"/>
  <c r="AF192" i="38" s="1"/>
  <c r="L158" i="38"/>
  <c r="J158" i="38" s="1"/>
  <c r="AF147" i="38" s="1"/>
  <c r="L156" i="38"/>
  <c r="J156" i="38" s="1"/>
  <c r="AF146" i="38" s="1"/>
  <c r="F173" i="38"/>
  <c r="L146" i="38"/>
  <c r="J146" i="38" s="1"/>
  <c r="AF141" i="38" s="1"/>
  <c r="L208" i="38"/>
  <c r="J208" i="38" s="1"/>
  <c r="AF194" i="38" s="1"/>
  <c r="F221" i="38"/>
  <c r="L142" i="38"/>
  <c r="J142" i="38" s="1"/>
  <c r="AF139" i="38" s="1"/>
  <c r="L186" i="38"/>
  <c r="J186" i="38" s="1"/>
  <c r="AF183" i="38" s="1"/>
  <c r="I232" i="38"/>
  <c r="O232" i="38" s="1"/>
  <c r="Q232" i="38" s="1"/>
  <c r="L206" i="38"/>
  <c r="J206" i="38" s="1"/>
  <c r="AF193" i="38" s="1"/>
  <c r="I162" i="38"/>
  <c r="AE149" i="38" s="1"/>
  <c r="F132" i="38"/>
  <c r="L152" i="38"/>
  <c r="J152" i="38" s="1"/>
  <c r="AF144" i="38" s="1"/>
  <c r="L150" i="38"/>
  <c r="J150" i="38" s="1"/>
  <c r="AF143" i="38" s="1"/>
  <c r="L184" i="38"/>
  <c r="J184" i="38" s="1"/>
  <c r="AF182" i="38" s="1"/>
  <c r="F217" i="38"/>
  <c r="L140" i="38"/>
  <c r="J140" i="38" s="1"/>
  <c r="AF138" i="38" s="1"/>
  <c r="I246" i="38"/>
  <c r="K246" i="38" s="1"/>
  <c r="L190" i="38"/>
  <c r="J190" i="38" s="1"/>
  <c r="AF185" i="38" s="1"/>
  <c r="L148" i="38"/>
  <c r="J148" i="38" s="1"/>
  <c r="AF142" i="38" s="1"/>
  <c r="I236" i="38"/>
  <c r="O236" i="38" s="1"/>
  <c r="Q236" i="38" s="1"/>
  <c r="I230" i="38"/>
  <c r="O230" i="38" s="1"/>
  <c r="Q230" i="38" s="1"/>
  <c r="L112" i="38"/>
  <c r="J112" i="38" s="1"/>
  <c r="AF102" i="38" s="1"/>
  <c r="F177" i="38"/>
  <c r="L160" i="38"/>
  <c r="J160" i="38" s="1"/>
  <c r="AF148" i="38" s="1"/>
  <c r="I192" i="38"/>
  <c r="O192" i="38" s="1"/>
  <c r="Q192" i="38" s="1"/>
  <c r="I98" i="38"/>
  <c r="O98" i="38" s="1"/>
  <c r="Q98" i="38" s="1"/>
  <c r="L118" i="38"/>
  <c r="J118" i="38" s="1"/>
  <c r="AF105" i="38" s="1"/>
  <c r="I108" i="38"/>
  <c r="AE100" i="38" s="1"/>
  <c r="I116" i="38"/>
  <c r="O116" i="38" s="1"/>
  <c r="Q116" i="38" s="1"/>
  <c r="I110" i="38"/>
  <c r="K110" i="38" s="1"/>
  <c r="I206" i="38"/>
  <c r="K206" i="38" s="1"/>
  <c r="I194" i="38"/>
  <c r="K194" i="38" s="1"/>
  <c r="I104" i="38"/>
  <c r="O104" i="38" s="1"/>
  <c r="Q104" i="38" s="1"/>
  <c r="I196" i="38"/>
  <c r="AE188" i="38" s="1"/>
  <c r="L96" i="38"/>
  <c r="J96" i="38" s="1"/>
  <c r="AF94" i="38" s="1"/>
  <c r="I118" i="38"/>
  <c r="L154" i="38"/>
  <c r="J154" i="38" s="1"/>
  <c r="AF145" i="38" s="1"/>
  <c r="I198" i="38"/>
  <c r="K198" i="38" s="1"/>
  <c r="F124" i="38"/>
  <c r="D126" i="38" s="1"/>
  <c r="F126" i="38" s="1"/>
  <c r="I102" i="38"/>
  <c r="O102" i="38" s="1"/>
  <c r="Q102" i="38" s="1"/>
  <c r="I96" i="38"/>
  <c r="K96" i="38" s="1"/>
  <c r="I112" i="38"/>
  <c r="I100" i="38"/>
  <c r="K120" i="38"/>
  <c r="AE106" i="38"/>
  <c r="O120" i="38"/>
  <c r="Q120" i="38" s="1"/>
  <c r="L106" i="38"/>
  <c r="J106" i="38" s="1"/>
  <c r="AF99" i="38" s="1"/>
  <c r="F261" i="38"/>
  <c r="I106" i="38"/>
  <c r="F129" i="38"/>
  <c r="L100" i="38"/>
  <c r="L102" i="38"/>
  <c r="L116" i="38"/>
  <c r="J116" i="38" s="1"/>
  <c r="AF104" i="38" s="1"/>
  <c r="L108" i="38"/>
  <c r="J108" i="38" s="1"/>
  <c r="AF100" i="38" s="1"/>
  <c r="F133" i="38"/>
  <c r="I200" i="38"/>
  <c r="AF58" i="38"/>
  <c r="I228" i="38"/>
  <c r="I234" i="38"/>
  <c r="I242" i="38"/>
  <c r="L98" i="38"/>
  <c r="L104" i="38"/>
  <c r="J104" i="38" s="1"/>
  <c r="AF98" i="38" s="1"/>
  <c r="L114" i="38"/>
  <c r="J114" i="38" s="1"/>
  <c r="AF103" i="38" s="1"/>
  <c r="L120" i="38"/>
  <c r="J120" i="38" s="1"/>
  <c r="AF106" i="38" s="1"/>
  <c r="I204" i="38"/>
  <c r="O204" i="38" s="1"/>
  <c r="Q204" i="38" s="1"/>
  <c r="O202" i="38"/>
  <c r="Q202" i="38" s="1"/>
  <c r="K202" i="38"/>
  <c r="AE191" i="38"/>
  <c r="F168" i="38"/>
  <c r="D170" i="38" s="1"/>
  <c r="F170" i="38" s="1"/>
  <c r="I144" i="38"/>
  <c r="I150" i="38"/>
  <c r="I146" i="38"/>
  <c r="F176" i="38"/>
  <c r="I140" i="38"/>
  <c r="I184" i="38"/>
  <c r="F220" i="38"/>
  <c r="F212" i="38"/>
  <c r="D214" i="38" s="1"/>
  <c r="F214" i="38" s="1"/>
  <c r="I188" i="38"/>
  <c r="I186" i="38"/>
  <c r="I156" i="38"/>
  <c r="I152" i="38"/>
  <c r="I158" i="38"/>
  <c r="L238" i="38"/>
  <c r="L240" i="38"/>
  <c r="L242" i="38"/>
  <c r="L232" i="38"/>
  <c r="L248" i="38"/>
  <c r="L244" i="38"/>
  <c r="L250" i="38"/>
  <c r="AF240" i="38"/>
  <c r="AF239" i="38"/>
  <c r="L230" i="38"/>
  <c r="L252" i="38"/>
  <c r="L246" i="38"/>
  <c r="L236" i="38"/>
  <c r="L234" i="38"/>
  <c r="L228" i="38"/>
  <c r="AF62" i="38"/>
  <c r="L24" i="38"/>
  <c r="J24" i="38" s="1"/>
  <c r="AF14" i="38" s="1"/>
  <c r="I20" i="38"/>
  <c r="K20" i="38" s="1"/>
  <c r="I14" i="38"/>
  <c r="O14" i="38" s="1"/>
  <c r="I16" i="38"/>
  <c r="K16" i="38" s="1"/>
  <c r="I28" i="38"/>
  <c r="K28" i="38" s="1"/>
  <c r="I24" i="38"/>
  <c r="O24" i="38" s="1"/>
  <c r="J30" i="38"/>
  <c r="AF17" i="38" s="1"/>
  <c r="K22" i="38"/>
  <c r="AE13" i="38"/>
  <c r="O22" i="38"/>
  <c r="L10" i="38"/>
  <c r="F41" i="38"/>
  <c r="D43" i="38" s="1"/>
  <c r="F43" i="38" s="1"/>
  <c r="L8" i="38"/>
  <c r="F45" i="38"/>
  <c r="F36" i="38"/>
  <c r="D38" i="38" s="1"/>
  <c r="F38" i="38" s="1"/>
  <c r="I10" i="38"/>
  <c r="F44" i="38"/>
  <c r="I8" i="38"/>
  <c r="I32" i="38"/>
  <c r="L20" i="38"/>
  <c r="I26" i="38"/>
  <c r="L18" i="38"/>
  <c r="L28" i="38"/>
  <c r="I18" i="38"/>
  <c r="L16" i="38"/>
  <c r="L22" i="38"/>
  <c r="I30" i="38"/>
  <c r="L14" i="38"/>
  <c r="L26" i="38"/>
  <c r="I12" i="38"/>
  <c r="L32" i="38"/>
  <c r="L12" i="38"/>
  <c r="D263" i="38" l="1"/>
  <c r="F263" i="38" s="1"/>
  <c r="N194" i="38"/>
  <c r="D219" i="38"/>
  <c r="F219" i="38" s="1"/>
  <c r="D175" i="38"/>
  <c r="F175" i="38" s="1"/>
  <c r="D131" i="38"/>
  <c r="F131" i="38" s="1"/>
  <c r="M110" i="38"/>
  <c r="AE185" i="38"/>
  <c r="K190" i="38"/>
  <c r="M190" i="38" s="1"/>
  <c r="AE95" i="38"/>
  <c r="AE194" i="38"/>
  <c r="O208" i="38"/>
  <c r="Q208" i="38" s="1"/>
  <c r="O164" i="38"/>
  <c r="Q164" i="38" s="1"/>
  <c r="N96" i="38"/>
  <c r="AE231" i="38"/>
  <c r="O238" i="38"/>
  <c r="Q238" i="38" s="1"/>
  <c r="K248" i="38"/>
  <c r="N248" i="38" s="1"/>
  <c r="P248" i="38" s="1"/>
  <c r="AE236" i="38"/>
  <c r="AE227" i="38"/>
  <c r="O114" i="38"/>
  <c r="Q114" i="38" s="1"/>
  <c r="K114" i="38"/>
  <c r="N114" i="38" s="1"/>
  <c r="AE150" i="38"/>
  <c r="K98" i="38"/>
  <c r="N98" i="38" s="1"/>
  <c r="P98" i="38" s="1"/>
  <c r="O96" i="38"/>
  <c r="Q96" i="38" s="1"/>
  <c r="O246" i="38"/>
  <c r="Q246" i="38" s="1"/>
  <c r="AE98" i="38"/>
  <c r="AE104" i="38"/>
  <c r="K116" i="38"/>
  <c r="M116" i="38" s="1"/>
  <c r="O244" i="38"/>
  <c r="Q244" i="38" s="1"/>
  <c r="AE94" i="38"/>
  <c r="N202" i="38"/>
  <c r="P202" i="38" s="1"/>
  <c r="M96" i="38"/>
  <c r="K244" i="38"/>
  <c r="M244" i="38" s="1"/>
  <c r="M120" i="38"/>
  <c r="O198" i="38"/>
  <c r="Q198" i="38" s="1"/>
  <c r="K192" i="38"/>
  <c r="M192" i="38" s="1"/>
  <c r="AE189" i="38"/>
  <c r="AE186" i="38"/>
  <c r="G220" i="38"/>
  <c r="K236" i="38"/>
  <c r="N236" i="38" s="1"/>
  <c r="P236" i="38" s="1"/>
  <c r="AE238" i="38"/>
  <c r="O252" i="38"/>
  <c r="Q252" i="38" s="1"/>
  <c r="K240" i="38"/>
  <c r="M240" i="38" s="1"/>
  <c r="O110" i="38"/>
  <c r="Q110" i="38" s="1"/>
  <c r="M206" i="38"/>
  <c r="AE101" i="38"/>
  <c r="K250" i="38"/>
  <c r="M250" i="38" s="1"/>
  <c r="O250" i="38"/>
  <c r="Q250" i="38" s="1"/>
  <c r="M164" i="38"/>
  <c r="O240" i="38"/>
  <c r="Q240" i="38" s="1"/>
  <c r="N164" i="38"/>
  <c r="AE230" i="38"/>
  <c r="O162" i="38"/>
  <c r="Q162" i="38" s="1"/>
  <c r="K162" i="38"/>
  <c r="N162" i="38" s="1"/>
  <c r="M198" i="38"/>
  <c r="O160" i="38"/>
  <c r="Q160" i="38" s="1"/>
  <c r="K160" i="38"/>
  <c r="N160" i="38" s="1"/>
  <c r="K230" i="38"/>
  <c r="N230" i="38" s="1"/>
  <c r="P230" i="38" s="1"/>
  <c r="AE235" i="38"/>
  <c r="G132" i="38"/>
  <c r="AE193" i="38"/>
  <c r="N198" i="38"/>
  <c r="O206" i="38"/>
  <c r="Q206" i="38" s="1"/>
  <c r="N110" i="38"/>
  <c r="O142" i="38"/>
  <c r="Q142" i="38" s="1"/>
  <c r="AE139" i="38"/>
  <c r="K154" i="38"/>
  <c r="M154" i="38" s="1"/>
  <c r="AE145" i="38"/>
  <c r="G176" i="38"/>
  <c r="M202" i="38"/>
  <c r="K196" i="38"/>
  <c r="N196" i="38" s="1"/>
  <c r="O196" i="38"/>
  <c r="Q196" i="38" s="1"/>
  <c r="AE228" i="38"/>
  <c r="M148" i="38"/>
  <c r="K104" i="38"/>
  <c r="M104" i="38" s="1"/>
  <c r="K232" i="38"/>
  <c r="N232" i="38" s="1"/>
  <c r="P232" i="38" s="1"/>
  <c r="N148" i="38"/>
  <c r="P148" i="38" s="1"/>
  <c r="N120" i="38"/>
  <c r="P120" i="38" s="1"/>
  <c r="K102" i="38"/>
  <c r="M102" i="38" s="1"/>
  <c r="AE187" i="38"/>
  <c r="O100" i="38"/>
  <c r="Q100" i="38" s="1"/>
  <c r="O194" i="38"/>
  <c r="Q194" i="38" s="1"/>
  <c r="K100" i="38"/>
  <c r="N100" i="38" s="1"/>
  <c r="AE102" i="38"/>
  <c r="K112" i="38"/>
  <c r="O112" i="38"/>
  <c r="O118" i="38"/>
  <c r="Q118" i="38" s="1"/>
  <c r="K118" i="38"/>
  <c r="AE96" i="38"/>
  <c r="O108" i="38"/>
  <c r="Q108" i="38" s="1"/>
  <c r="K108" i="38"/>
  <c r="AE97" i="38"/>
  <c r="AE105" i="38"/>
  <c r="J98" i="38"/>
  <c r="AF95" i="38" s="1"/>
  <c r="K242" i="38"/>
  <c r="M242" i="38" s="1"/>
  <c r="AE233" i="38"/>
  <c r="O242" i="38"/>
  <c r="Q242" i="38" s="1"/>
  <c r="AE192" i="38"/>
  <c r="K204" i="38"/>
  <c r="J102" i="38"/>
  <c r="AF97" i="38" s="1"/>
  <c r="AE99" i="38"/>
  <c r="K106" i="38"/>
  <c r="O106" i="38"/>
  <c r="Q106" i="38" s="1"/>
  <c r="J100" i="38"/>
  <c r="AF96" i="38" s="1"/>
  <c r="O234" i="38"/>
  <c r="Q234" i="38" s="1"/>
  <c r="K234" i="38"/>
  <c r="N234" i="38" s="1"/>
  <c r="AE229" i="38"/>
  <c r="AE226" i="38"/>
  <c r="O228" i="38"/>
  <c r="Q228" i="38" s="1"/>
  <c r="K228" i="38"/>
  <c r="M228" i="38" s="1"/>
  <c r="AE190" i="38"/>
  <c r="O200" i="38"/>
  <c r="Q200" i="38" s="1"/>
  <c r="K200" i="38"/>
  <c r="Q60" i="38"/>
  <c r="AE54" i="38"/>
  <c r="Q66" i="38"/>
  <c r="AE57" i="38"/>
  <c r="K184" i="38"/>
  <c r="O184" i="38"/>
  <c r="AE182" i="38"/>
  <c r="O150" i="38"/>
  <c r="Q150" i="38" s="1"/>
  <c r="K150" i="38"/>
  <c r="AE143" i="38"/>
  <c r="Q62" i="38"/>
  <c r="AE55" i="38"/>
  <c r="Q56" i="38"/>
  <c r="AE52" i="38"/>
  <c r="AE140" i="38"/>
  <c r="O144" i="38"/>
  <c r="Q144" i="38" s="1"/>
  <c r="K144" i="38"/>
  <c r="Q52" i="38"/>
  <c r="AE50" i="38"/>
  <c r="AE58" i="38"/>
  <c r="Q68" i="38"/>
  <c r="Q76" i="38"/>
  <c r="AE62" i="38"/>
  <c r="AE146" i="38"/>
  <c r="K156" i="38"/>
  <c r="O156" i="38"/>
  <c r="Q70" i="38"/>
  <c r="AE59" i="38"/>
  <c r="N142" i="38"/>
  <c r="M142" i="38"/>
  <c r="M194" i="38"/>
  <c r="AE147" i="38"/>
  <c r="K158" i="38"/>
  <c r="O158" i="38"/>
  <c r="AE51" i="38"/>
  <c r="Q54" i="38"/>
  <c r="Q72" i="38"/>
  <c r="AE60" i="38"/>
  <c r="AE183" i="38"/>
  <c r="O186" i="38"/>
  <c r="K186" i="38"/>
  <c r="AE61" i="38"/>
  <c r="Q74" i="38"/>
  <c r="Q64" i="38"/>
  <c r="AE56" i="38"/>
  <c r="K188" i="38"/>
  <c r="AE184" i="38"/>
  <c r="O188" i="38"/>
  <c r="Q188" i="38" s="1"/>
  <c r="O140" i="38"/>
  <c r="Q140" i="38" s="1"/>
  <c r="K140" i="38"/>
  <c r="AE138" i="38"/>
  <c r="K152" i="38"/>
  <c r="O152" i="38"/>
  <c r="Q152" i="38" s="1"/>
  <c r="AE144" i="38"/>
  <c r="AE53" i="38"/>
  <c r="Q58" i="38"/>
  <c r="AE141" i="38"/>
  <c r="O146" i="38"/>
  <c r="K146" i="38"/>
  <c r="N206" i="38"/>
  <c r="J252" i="38"/>
  <c r="AF238" i="38" s="1"/>
  <c r="N252" i="38"/>
  <c r="M252" i="38"/>
  <c r="J242" i="38"/>
  <c r="AF233" i="38" s="1"/>
  <c r="M208" i="38"/>
  <c r="N208" i="38"/>
  <c r="J230" i="38"/>
  <c r="AF227" i="38" s="1"/>
  <c r="J240" i="38"/>
  <c r="AF232" i="38" s="1"/>
  <c r="M238" i="38"/>
  <c r="J238" i="38"/>
  <c r="AF231" i="38" s="1"/>
  <c r="N238" i="38"/>
  <c r="J228" i="38"/>
  <c r="AF226" i="38" s="1"/>
  <c r="J250" i="38"/>
  <c r="AF237" i="38" s="1"/>
  <c r="Q190" i="38"/>
  <c r="J234" i="38"/>
  <c r="AF229" i="38" s="1"/>
  <c r="J244" i="38"/>
  <c r="AF234" i="38" s="1"/>
  <c r="J236" i="38"/>
  <c r="AF230" i="38" s="1"/>
  <c r="J248" i="38"/>
  <c r="AF236" i="38" s="1"/>
  <c r="Q248" i="38"/>
  <c r="N246" i="38"/>
  <c r="M246" i="38"/>
  <c r="J246" i="38"/>
  <c r="AF235" i="38" s="1"/>
  <c r="J232" i="38"/>
  <c r="AF228" i="38" s="1"/>
  <c r="AE12" i="38"/>
  <c r="O20" i="38"/>
  <c r="Q20" i="38" s="1"/>
  <c r="O28" i="38"/>
  <c r="Q28" i="38" s="1"/>
  <c r="AE10" i="38"/>
  <c r="AE14" i="38"/>
  <c r="K24" i="38"/>
  <c r="M24" i="38" s="1"/>
  <c r="Q24" i="38"/>
  <c r="AE9" i="38"/>
  <c r="K14" i="38"/>
  <c r="N14" i="38" s="1"/>
  <c r="P14" i="38" s="1"/>
  <c r="O16" i="38"/>
  <c r="Q16" i="38" s="1"/>
  <c r="AE16" i="38"/>
  <c r="G44" i="38"/>
  <c r="J14" i="38"/>
  <c r="AF9" i="38" s="1"/>
  <c r="M20" i="38"/>
  <c r="J20" i="38"/>
  <c r="AF12" i="38" s="1"/>
  <c r="N20" i="38"/>
  <c r="K30" i="38"/>
  <c r="O30" i="38"/>
  <c r="Q30" i="38" s="1"/>
  <c r="AE17" i="38"/>
  <c r="O32" i="38"/>
  <c r="Q32" i="38" s="1"/>
  <c r="K32" i="38"/>
  <c r="N32" i="38" s="1"/>
  <c r="AE18" i="38"/>
  <c r="J10" i="38"/>
  <c r="AF7" i="38" s="1"/>
  <c r="M22" i="38"/>
  <c r="J22" i="38"/>
  <c r="AF13" i="38" s="1"/>
  <c r="N22" i="38"/>
  <c r="P22" i="38" s="1"/>
  <c r="K8" i="38"/>
  <c r="M8" i="38" s="1"/>
  <c r="O8" i="38"/>
  <c r="Q8" i="38" s="1"/>
  <c r="AE6" i="38"/>
  <c r="N16" i="38"/>
  <c r="M16" i="38"/>
  <c r="J16" i="38"/>
  <c r="AF10" i="38" s="1"/>
  <c r="J12" i="38"/>
  <c r="AF8" i="38" s="1"/>
  <c r="AE11" i="38"/>
  <c r="O18" i="38"/>
  <c r="Q18" i="38" s="1"/>
  <c r="K18" i="38"/>
  <c r="N18" i="38" s="1"/>
  <c r="O10" i="38"/>
  <c r="K10" i="38"/>
  <c r="N10" i="38" s="1"/>
  <c r="AE7" i="38"/>
  <c r="Q22" i="38"/>
  <c r="J32" i="38"/>
  <c r="AF18" i="38" s="1"/>
  <c r="M28" i="38"/>
  <c r="N28" i="38"/>
  <c r="J28" i="38"/>
  <c r="AF16" i="38" s="1"/>
  <c r="O12" i="38"/>
  <c r="Q12" i="38" s="1"/>
  <c r="AE8" i="38"/>
  <c r="K12" i="38"/>
  <c r="M12" i="38" s="1"/>
  <c r="J18" i="38"/>
  <c r="AF11" i="38" s="1"/>
  <c r="J26" i="38"/>
  <c r="AF15" i="38" s="1"/>
  <c r="AE15" i="38"/>
  <c r="K26" i="38"/>
  <c r="M26" i="38" s="1"/>
  <c r="O26" i="38"/>
  <c r="Q26" i="38" s="1"/>
  <c r="J8" i="38"/>
  <c r="AF6" i="38" s="1"/>
  <c r="Q14" i="38"/>
  <c r="N190" i="38" l="1"/>
  <c r="P190" i="38" s="1"/>
  <c r="P208" i="38"/>
  <c r="N116" i="38"/>
  <c r="P116" i="38" s="1"/>
  <c r="P96" i="38"/>
  <c r="M114" i="38"/>
  <c r="M232" i="38"/>
  <c r="P164" i="38"/>
  <c r="M248" i="38"/>
  <c r="P238" i="38"/>
  <c r="M98" i="38"/>
  <c r="N244" i="38"/>
  <c r="P244" i="38" s="1"/>
  <c r="P114" i="38"/>
  <c r="M236" i="38"/>
  <c r="P246" i="38"/>
  <c r="N192" i="38"/>
  <c r="P192" i="38" s="1"/>
  <c r="P198" i="38"/>
  <c r="M160" i="38"/>
  <c r="N240" i="38"/>
  <c r="P240" i="38" s="1"/>
  <c r="P162" i="38"/>
  <c r="P252" i="38"/>
  <c r="P142" i="38"/>
  <c r="N250" i="38"/>
  <c r="P250" i="38" s="1"/>
  <c r="N242" i="38"/>
  <c r="P242" i="38" s="1"/>
  <c r="P110" i="38"/>
  <c r="P194" i="38"/>
  <c r="P160" i="38"/>
  <c r="N104" i="38"/>
  <c r="P104" i="38" s="1"/>
  <c r="M230" i="38"/>
  <c r="P206" i="38"/>
  <c r="M162" i="38"/>
  <c r="P196" i="38"/>
  <c r="N154" i="38"/>
  <c r="P154" i="38" s="1"/>
  <c r="N228" i="38"/>
  <c r="P228" i="38" s="1"/>
  <c r="M196" i="38"/>
  <c r="N102" i="38"/>
  <c r="P102" i="38" s="1"/>
  <c r="M100" i="38"/>
  <c r="N24" i="38"/>
  <c r="P24" i="38" s="1"/>
  <c r="P100" i="38"/>
  <c r="M112" i="38"/>
  <c r="N112" i="38"/>
  <c r="P112" i="38" s="1"/>
  <c r="M118" i="38"/>
  <c r="N118" i="38"/>
  <c r="P118" i="38" s="1"/>
  <c r="M108" i="38"/>
  <c r="N108" i="38"/>
  <c r="P108" i="38" s="1"/>
  <c r="P234" i="38"/>
  <c r="Q112" i="38"/>
  <c r="N200" i="38"/>
  <c r="P200" i="38" s="1"/>
  <c r="M200" i="38"/>
  <c r="N106" i="38"/>
  <c r="P106" i="38" s="1"/>
  <c r="M106" i="38"/>
  <c r="M234" i="38"/>
  <c r="M204" i="38"/>
  <c r="N204" i="38"/>
  <c r="P204" i="38" s="1"/>
  <c r="P64" i="38"/>
  <c r="P68" i="38"/>
  <c r="Q184" i="38"/>
  <c r="P60" i="38"/>
  <c r="P74" i="38"/>
  <c r="N144" i="38"/>
  <c r="P144" i="38" s="1"/>
  <c r="M144" i="38"/>
  <c r="N184" i="38"/>
  <c r="P184" i="38" s="1"/>
  <c r="M184" i="38"/>
  <c r="Q158" i="38"/>
  <c r="N158" i="38"/>
  <c r="P158" i="38" s="1"/>
  <c r="M158" i="38"/>
  <c r="P76" i="38"/>
  <c r="P58" i="38"/>
  <c r="N140" i="38"/>
  <c r="P140" i="38" s="1"/>
  <c r="M140" i="38"/>
  <c r="P72" i="38"/>
  <c r="P52" i="38"/>
  <c r="P56" i="38"/>
  <c r="P66" i="38"/>
  <c r="N152" i="38"/>
  <c r="P152" i="38" s="1"/>
  <c r="M152" i="38"/>
  <c r="P70" i="38"/>
  <c r="N150" i="38"/>
  <c r="P150" i="38" s="1"/>
  <c r="M150" i="38"/>
  <c r="Q146" i="38"/>
  <c r="N188" i="38"/>
  <c r="P188" i="38" s="1"/>
  <c r="M188" i="38"/>
  <c r="Q186" i="38"/>
  <c r="P54" i="38"/>
  <c r="Q156" i="38"/>
  <c r="P62" i="38"/>
  <c r="N146" i="38"/>
  <c r="P146" i="38" s="1"/>
  <c r="M146" i="38"/>
  <c r="N186" i="38"/>
  <c r="P186" i="38" s="1"/>
  <c r="M186" i="38"/>
  <c r="N156" i="38"/>
  <c r="P156" i="38" s="1"/>
  <c r="M156" i="38"/>
  <c r="P28" i="38"/>
  <c r="P20" i="38"/>
  <c r="M14" i="38"/>
  <c r="P16" i="38"/>
  <c r="M32" i="38"/>
  <c r="M10" i="38"/>
  <c r="M18" i="38"/>
  <c r="P10" i="38"/>
  <c r="P18" i="38"/>
  <c r="P32" i="38"/>
  <c r="N26" i="38"/>
  <c r="P26" i="38" s="1"/>
  <c r="N8" i="38"/>
  <c r="P8" i="38" s="1"/>
  <c r="Q10" i="38"/>
  <c r="N12" i="38"/>
  <c r="P12" i="38" s="1"/>
  <c r="N30" i="38"/>
  <c r="P30" i="38" s="1"/>
  <c r="M30" i="38"/>
</calcChain>
</file>

<file path=xl/sharedStrings.xml><?xml version="1.0" encoding="utf-8"?>
<sst xmlns="http://schemas.openxmlformats.org/spreadsheetml/2006/main" count="1642" uniqueCount="746">
  <si>
    <t>透湿抵抗比の目安</t>
    <rPh sb="0" eb="1">
      <t>トオル</t>
    </rPh>
    <rPh sb="1" eb="2">
      <t>シツ</t>
    </rPh>
    <rPh sb="2" eb="4">
      <t>テイコウ</t>
    </rPh>
    <rPh sb="4" eb="5">
      <t>ヒ</t>
    </rPh>
    <rPh sb="6" eb="8">
      <t>メヤス</t>
    </rPh>
    <phoneticPr fontId="1"/>
  </si>
  <si>
    <t>住宅の省エネルギー基準の解説（第３版）より</t>
    <phoneticPr fontId="1"/>
  </si>
  <si>
    <t>外壁５,屋根６</t>
    <rPh sb="0" eb="2">
      <t>ガイヘキ</t>
    </rPh>
    <rPh sb="4" eb="6">
      <t>ヤネ</t>
    </rPh>
    <phoneticPr fontId="1"/>
  </si>
  <si>
    <t>外壁５,屋根６</t>
    <phoneticPr fontId="1"/>
  </si>
  <si>
    <t>外壁３,屋根４</t>
    <phoneticPr fontId="1"/>
  </si>
  <si>
    <t>伝達抵抗 Ro</t>
    <phoneticPr fontId="1"/>
  </si>
  <si>
    <t>外壁２,屋根３</t>
    <phoneticPr fontId="1"/>
  </si>
  <si>
    <t>熱貫流抵抗　R値</t>
    <rPh sb="0" eb="1">
      <t>ネツ</t>
    </rPh>
    <rPh sb="1" eb="3">
      <t>カンリュウ</t>
    </rPh>
    <rPh sb="3" eb="5">
      <t>テイコウ</t>
    </rPh>
    <rPh sb="7" eb="8">
      <t>アタイ</t>
    </rPh>
    <phoneticPr fontId="1"/>
  </si>
  <si>
    <t>外壁２,屋根３</t>
    <phoneticPr fontId="1"/>
  </si>
  <si>
    <t>-</t>
    <phoneticPr fontId="1"/>
  </si>
  <si>
    <t>熱貫流率　U値</t>
    <rPh sb="0" eb="1">
      <t>ネツ</t>
    </rPh>
    <rPh sb="1" eb="3">
      <t>カンリュウ</t>
    </rPh>
    <rPh sb="3" eb="4">
      <t>リツ</t>
    </rPh>
    <rPh sb="6" eb="7">
      <t>アタイ</t>
    </rPh>
    <phoneticPr fontId="1"/>
  </si>
  <si>
    <t>※断熱材まで（断熱材含む）を内部とする。</t>
    <rPh sb="1" eb="4">
      <t>ダンネツザイ</t>
    </rPh>
    <rPh sb="7" eb="10">
      <t>ダンネツザイ</t>
    </rPh>
    <rPh sb="10" eb="11">
      <t>フク</t>
    </rPh>
    <rPh sb="14" eb="16">
      <t>ナイブ</t>
    </rPh>
    <phoneticPr fontId="1"/>
  </si>
  <si>
    <t>水蒸気圧の算出式</t>
    <rPh sb="0" eb="3">
      <t>スイジョウキ</t>
    </rPh>
    <rPh sb="3" eb="4">
      <t>アツ</t>
    </rPh>
    <rPh sb="5" eb="7">
      <t>サンシュツ</t>
    </rPh>
    <rPh sb="7" eb="8">
      <t>シキ</t>
    </rPh>
    <phoneticPr fontId="1"/>
  </si>
  <si>
    <t>e=EXP(-6096.938/T+21.2409642-2.711193*10^-2*T+1.673952*10^-5*T^2+2.433502*lnT)</t>
    <phoneticPr fontId="1"/>
  </si>
  <si>
    <t>絶対湿度の算出式</t>
    <rPh sb="0" eb="2">
      <t>ゼッタイ</t>
    </rPh>
    <rPh sb="2" eb="4">
      <t>シツド</t>
    </rPh>
    <rPh sb="5" eb="7">
      <t>サンシュツ</t>
    </rPh>
    <rPh sb="7" eb="8">
      <t>シキ</t>
    </rPh>
    <phoneticPr fontId="1"/>
  </si>
  <si>
    <t>松尾の式</t>
    <rPh sb="0" eb="2">
      <t>マツオ</t>
    </rPh>
    <rPh sb="3" eb="4">
      <t>シキ</t>
    </rPh>
    <phoneticPr fontId="1"/>
  </si>
  <si>
    <t>室内露点温度</t>
    <rPh sb="0" eb="2">
      <t>シツナイ</t>
    </rPh>
    <rPh sb="2" eb="3">
      <t>ロ</t>
    </rPh>
    <rPh sb="3" eb="4">
      <t>テン</t>
    </rPh>
    <rPh sb="4" eb="6">
      <t>オンド</t>
    </rPh>
    <phoneticPr fontId="1"/>
  </si>
  <si>
    <t>外気側表面</t>
    <rPh sb="0" eb="2">
      <t>ガイキ</t>
    </rPh>
    <rPh sb="2" eb="3">
      <t>ガワ</t>
    </rPh>
    <rPh sb="3" eb="5">
      <t>ヒョウメン</t>
    </rPh>
    <phoneticPr fontId="1"/>
  </si>
  <si>
    <t>室内側表面 屋根，天井</t>
    <rPh sb="0" eb="2">
      <t>シツナイ</t>
    </rPh>
    <rPh sb="2" eb="3">
      <t>ガワ</t>
    </rPh>
    <rPh sb="3" eb="5">
      <t>ヒョウメン</t>
    </rPh>
    <phoneticPr fontId="1"/>
  </si>
  <si>
    <t>(山内設計室　INSYS 結露計算システム Ver.2.0.9マニュアルより）</t>
    <rPh sb="1" eb="3">
      <t>ヤマウチ</t>
    </rPh>
    <rPh sb="3" eb="5">
      <t>セッケイ</t>
    </rPh>
    <rPh sb="5" eb="6">
      <t>シツ</t>
    </rPh>
    <phoneticPr fontId="1"/>
  </si>
  <si>
    <t>室内側表面 床</t>
    <rPh sb="0" eb="2">
      <t>シツナイ</t>
    </rPh>
    <rPh sb="2" eb="3">
      <t>ガワ</t>
    </rPh>
    <rPh sb="3" eb="5">
      <t>ヒョウメン</t>
    </rPh>
    <phoneticPr fontId="1"/>
  </si>
  <si>
    <t>(山内設計室　INSYS 結露計算システム Ver.2.0.9マニュアルより）</t>
    <phoneticPr fontId="1"/>
  </si>
  <si>
    <t>室内側表面 外壁</t>
    <rPh sb="0" eb="2">
      <t>シツナイ</t>
    </rPh>
    <rPh sb="2" eb="3">
      <t>ガワ</t>
    </rPh>
    <rPh sb="3" eb="5">
      <t>ヒョウメン</t>
    </rPh>
    <phoneticPr fontId="1"/>
  </si>
  <si>
    <t>室内側表面 内壁</t>
    <rPh sb="0" eb="2">
      <t>シツナイ</t>
    </rPh>
    <rPh sb="2" eb="3">
      <t>ガワ</t>
    </rPh>
    <rPh sb="3" eb="5">
      <t>ヒョウメン</t>
    </rPh>
    <phoneticPr fontId="1"/>
  </si>
  <si>
    <t>※上記表面湿気伝達抵抗は暖房時の湿流方向を想定していますので冷房時は適切な値に変更してください。</t>
    <rPh sb="1" eb="3">
      <t>ジョウキ</t>
    </rPh>
    <rPh sb="3" eb="5">
      <t>ヒョウメン</t>
    </rPh>
    <rPh sb="5" eb="7">
      <t>シッケ</t>
    </rPh>
    <rPh sb="7" eb="9">
      <t>デンタツ</t>
    </rPh>
    <rPh sb="9" eb="11">
      <t>テイコウ</t>
    </rPh>
    <rPh sb="12" eb="14">
      <t>ダンボウ</t>
    </rPh>
    <rPh sb="14" eb="15">
      <t>ジ</t>
    </rPh>
    <rPh sb="16" eb="17">
      <t>シツ</t>
    </rPh>
    <rPh sb="17" eb="18">
      <t>リュウ</t>
    </rPh>
    <rPh sb="18" eb="20">
      <t>ホウコウ</t>
    </rPh>
    <rPh sb="21" eb="23">
      <t>ソウテイ</t>
    </rPh>
    <rPh sb="30" eb="32">
      <t>レイボウ</t>
    </rPh>
    <rPh sb="32" eb="33">
      <t>ジ</t>
    </rPh>
    <rPh sb="34" eb="36">
      <t>テキセツ</t>
    </rPh>
    <rPh sb="37" eb="38">
      <t>アタイ</t>
    </rPh>
    <rPh sb="39" eb="41">
      <t>ヘンコウ</t>
    </rPh>
    <phoneticPr fontId="1"/>
  </si>
  <si>
    <t>寒冷紗</t>
    <rPh sb="0" eb="2">
      <t>カンレイ</t>
    </rPh>
    <rPh sb="2" eb="3">
      <t>シャ</t>
    </rPh>
    <phoneticPr fontId="1"/>
  </si>
  <si>
    <t>不織布</t>
    <rPh sb="0" eb="1">
      <t>フ</t>
    </rPh>
    <rPh sb="1" eb="2">
      <t>オ</t>
    </rPh>
    <rPh sb="2" eb="3">
      <t>ヌノ</t>
    </rPh>
    <phoneticPr fontId="1"/>
  </si>
  <si>
    <t>スギ（心材）</t>
    <rPh sb="3" eb="4">
      <t>シン</t>
    </rPh>
    <rPh sb="4" eb="5">
      <t>ザイ</t>
    </rPh>
    <phoneticPr fontId="1"/>
  </si>
  <si>
    <t>備考</t>
    <rPh sb="0" eb="2">
      <t>ビコウ</t>
    </rPh>
    <phoneticPr fontId="1"/>
  </si>
  <si>
    <t>商品名</t>
    <rPh sb="0" eb="2">
      <t>ショウヒン</t>
    </rPh>
    <rPh sb="2" eb="3">
      <t>メイ</t>
    </rPh>
    <phoneticPr fontId="1"/>
  </si>
  <si>
    <t>A級インシュレーションボード</t>
    <rPh sb="1" eb="2">
      <t>キュウ</t>
    </rPh>
    <phoneticPr fontId="1"/>
  </si>
  <si>
    <t>アスファルト系アルミナペイント２回</t>
    <rPh sb="6" eb="7">
      <t>ケイ</t>
    </rPh>
    <rPh sb="15" eb="17">
      <t>ニカイ</t>
    </rPh>
    <phoneticPr fontId="1"/>
  </si>
  <si>
    <t>ビニール系プラスター壁刷毛塗り２回</t>
    <rPh sb="4" eb="5">
      <t>ケイ</t>
    </rPh>
    <rPh sb="10" eb="11">
      <t>カベ</t>
    </rPh>
    <rPh sb="11" eb="13">
      <t>ハケ</t>
    </rPh>
    <rPh sb="13" eb="14">
      <t>ヌ</t>
    </rPh>
    <rPh sb="15" eb="17">
      <t>ニカイ</t>
    </rPh>
    <phoneticPr fontId="1"/>
  </si>
  <si>
    <t>ビニール系杉板刷毛塗り２回</t>
    <rPh sb="4" eb="5">
      <t>ケイ</t>
    </rPh>
    <rPh sb="5" eb="6">
      <t>スギ</t>
    </rPh>
    <rPh sb="6" eb="7">
      <t>イタ</t>
    </rPh>
    <rPh sb="7" eb="9">
      <t>ハケ</t>
    </rPh>
    <rPh sb="9" eb="10">
      <t>ヌ</t>
    </rPh>
    <rPh sb="11" eb="13">
      <t>ニカイ</t>
    </rPh>
    <phoneticPr fontId="1"/>
  </si>
  <si>
    <t>塩化ゴム系杉板刷毛塗り２回</t>
    <rPh sb="0" eb="2">
      <t>エンカ</t>
    </rPh>
    <rPh sb="4" eb="5">
      <t>ケイ</t>
    </rPh>
    <rPh sb="5" eb="6">
      <t>スギ</t>
    </rPh>
    <rPh sb="6" eb="7">
      <t>イタ</t>
    </rPh>
    <rPh sb="7" eb="9">
      <t>ハケ</t>
    </rPh>
    <rPh sb="9" eb="10">
      <t>ヌ</t>
    </rPh>
    <rPh sb="11" eb="13">
      <t>ニカイ</t>
    </rPh>
    <phoneticPr fontId="1"/>
  </si>
  <si>
    <t>屋根　室内面</t>
    <rPh sb="0" eb="2">
      <t>ヤネ</t>
    </rPh>
    <rPh sb="3" eb="5">
      <t>シツナイ</t>
    </rPh>
    <rPh sb="5" eb="6">
      <t>メン</t>
    </rPh>
    <phoneticPr fontId="1"/>
  </si>
  <si>
    <t>屋根　外気面</t>
    <rPh sb="0" eb="2">
      <t>ヤネ</t>
    </rPh>
    <rPh sb="3" eb="5">
      <t>ガイキ</t>
    </rPh>
    <rPh sb="5" eb="6">
      <t>メン</t>
    </rPh>
    <phoneticPr fontId="1"/>
  </si>
  <si>
    <t>天井　室内面</t>
    <rPh sb="0" eb="2">
      <t>テンジョウ</t>
    </rPh>
    <rPh sb="3" eb="5">
      <t>シツナイ</t>
    </rPh>
    <rPh sb="5" eb="6">
      <t>メン</t>
    </rPh>
    <phoneticPr fontId="1"/>
  </si>
  <si>
    <t>6地域</t>
  </si>
  <si>
    <t>硬質ウレタンフォーム　2種3号</t>
    <rPh sb="0" eb="2">
      <t>コウシツ</t>
    </rPh>
    <rPh sb="12" eb="13">
      <t>シュ</t>
    </rPh>
    <rPh sb="14" eb="15">
      <t>ゴウ</t>
    </rPh>
    <phoneticPr fontId="1"/>
  </si>
  <si>
    <t>壁：通気層18mm以上+外壁</t>
    <rPh sb="0" eb="1">
      <t>カベ</t>
    </rPh>
    <rPh sb="2" eb="4">
      <t>ツウキ</t>
    </rPh>
    <rPh sb="4" eb="5">
      <t>ソウ</t>
    </rPh>
    <rPh sb="9" eb="11">
      <t>イジョウ</t>
    </rPh>
    <rPh sb="12" eb="14">
      <t>ガイヘキ</t>
    </rPh>
    <phoneticPr fontId="1"/>
  </si>
  <si>
    <t>壁：通気層9mm以上+外壁</t>
    <rPh sb="0" eb="1">
      <t>カベ</t>
    </rPh>
    <rPh sb="2" eb="4">
      <t>ツウキ</t>
    </rPh>
    <rPh sb="4" eb="5">
      <t>ソウ</t>
    </rPh>
    <rPh sb="8" eb="10">
      <t>イジョウ</t>
    </rPh>
    <rPh sb="11" eb="13">
      <t>ガイヘキ</t>
    </rPh>
    <phoneticPr fontId="1"/>
  </si>
  <si>
    <t>壁：通気層9mm以上(障害物あり）+外壁</t>
    <rPh sb="0" eb="1">
      <t>カベ</t>
    </rPh>
    <rPh sb="2" eb="4">
      <t>ツウキ</t>
    </rPh>
    <rPh sb="4" eb="5">
      <t>ソウ</t>
    </rPh>
    <rPh sb="8" eb="10">
      <t>イジョウ</t>
    </rPh>
    <rPh sb="11" eb="14">
      <t>ショウガイブツ</t>
    </rPh>
    <rPh sb="18" eb="20">
      <t>ガイヘキ</t>
    </rPh>
    <phoneticPr fontId="1"/>
  </si>
  <si>
    <t>屋根：通気層18mm以上+外装</t>
    <rPh sb="0" eb="2">
      <t>ヤネ</t>
    </rPh>
    <rPh sb="13" eb="15">
      <t>ガイソウ</t>
    </rPh>
    <phoneticPr fontId="1"/>
  </si>
  <si>
    <t>珪藻土</t>
    <rPh sb="0" eb="3">
      <t>ケイソウド</t>
    </rPh>
    <phoneticPr fontId="1"/>
  </si>
  <si>
    <t>密度</t>
    <rPh sb="0" eb="2">
      <t>ミツド</t>
    </rPh>
    <phoneticPr fontId="1"/>
  </si>
  <si>
    <t>防湿層付グラスウール</t>
    <rPh sb="0" eb="2">
      <t>ボウシツ</t>
    </rPh>
    <rPh sb="2" eb="3">
      <t>ソウ</t>
    </rPh>
    <rPh sb="3" eb="4">
      <t>ツキ</t>
    </rPh>
    <phoneticPr fontId="1"/>
  </si>
  <si>
    <t>透湿比抵抗は平均値</t>
  </si>
  <si>
    <t>■空気層</t>
    <rPh sb="1" eb="3">
      <t>クウキ</t>
    </rPh>
    <rPh sb="3" eb="4">
      <t>ソウ</t>
    </rPh>
    <phoneticPr fontId="1"/>
  </si>
  <si>
    <t>壁内通気層　10mm以上</t>
    <rPh sb="0" eb="1">
      <t>カベ</t>
    </rPh>
    <rPh sb="1" eb="2">
      <t>ナイ</t>
    </rPh>
    <rPh sb="2" eb="4">
      <t>ツウキ</t>
    </rPh>
    <rPh sb="4" eb="5">
      <t>ソウ</t>
    </rPh>
    <phoneticPr fontId="1"/>
  </si>
  <si>
    <t>※出典</t>
    <rPh sb="1" eb="3">
      <t>シュッテン</t>
    </rPh>
    <phoneticPr fontId="1"/>
  </si>
  <si>
    <t>土壁（仕上げ）</t>
    <rPh sb="0" eb="1">
      <t>ツチ</t>
    </rPh>
    <rPh sb="1" eb="2">
      <t>カベ</t>
    </rPh>
    <rPh sb="3" eb="5">
      <t>シア</t>
    </rPh>
    <phoneticPr fontId="1"/>
  </si>
  <si>
    <t>冬型結露</t>
  </si>
  <si>
    <t>外壁</t>
  </si>
  <si>
    <t>㎡･h･mmHg/g</t>
  </si>
  <si>
    <t>外気設定温度</t>
  </si>
  <si>
    <t>IBEC「結露防止ガイドブック」より</t>
    <rPh sb="5" eb="7">
      <t>ケツロ</t>
    </rPh>
    <rPh sb="7" eb="9">
      <t>ボウシ</t>
    </rPh>
    <phoneticPr fontId="1"/>
  </si>
  <si>
    <t>屋根、壁のみ登録</t>
    <rPh sb="0" eb="2">
      <t>ヤネ</t>
    </rPh>
    <rPh sb="3" eb="4">
      <t>カベ</t>
    </rPh>
    <rPh sb="6" eb="8">
      <t>トウロク</t>
    </rPh>
    <phoneticPr fontId="1"/>
  </si>
  <si>
    <t>IBEC「次世代省エネルギー基準適合住宅認定」申請ガイドより</t>
    <rPh sb="5" eb="8">
      <t>ジセダイ</t>
    </rPh>
    <rPh sb="8" eb="9">
      <t>ショウ</t>
    </rPh>
    <rPh sb="14" eb="16">
      <t>キジュン</t>
    </rPh>
    <rPh sb="16" eb="18">
      <t>テキゴウ</t>
    </rPh>
    <rPh sb="18" eb="20">
      <t>ジュウタク</t>
    </rPh>
    <rPh sb="20" eb="22">
      <t>ニンテイ</t>
    </rPh>
    <rPh sb="23" eb="25">
      <t>シンセイ</t>
    </rPh>
    <phoneticPr fontId="1"/>
  </si>
  <si>
    <t>外壁</t>
    <rPh sb="0" eb="1">
      <t>ガイ</t>
    </rPh>
    <rPh sb="1" eb="2">
      <t>カベ</t>
    </rPh>
    <phoneticPr fontId="1"/>
  </si>
  <si>
    <t>日本建築センター「住宅型式性能認定申請要領」より</t>
    <rPh sb="0" eb="2">
      <t>ニホン</t>
    </rPh>
    <rPh sb="2" eb="4">
      <t>ケンチク</t>
    </rPh>
    <rPh sb="9" eb="11">
      <t>ジュウタク</t>
    </rPh>
    <rPh sb="11" eb="13">
      <t>カタシキ</t>
    </rPh>
    <rPh sb="13" eb="15">
      <t>セイノウ</t>
    </rPh>
    <rPh sb="15" eb="17">
      <t>ニンテイ</t>
    </rPh>
    <rPh sb="17" eb="19">
      <t>シンセイ</t>
    </rPh>
    <rPh sb="19" eb="21">
      <t>ヨウリョウ</t>
    </rPh>
    <phoneticPr fontId="1"/>
  </si>
  <si>
    <t>表面結露用の設定温湿度</t>
    <rPh sb="0" eb="2">
      <t>ヒョウメン</t>
    </rPh>
    <rPh sb="2" eb="4">
      <t>ケツロ</t>
    </rPh>
    <rPh sb="4" eb="5">
      <t>ヨウ</t>
    </rPh>
    <rPh sb="6" eb="8">
      <t>セッテイ</t>
    </rPh>
    <rPh sb="8" eb="11">
      <t>オンシツド</t>
    </rPh>
    <phoneticPr fontId="1"/>
  </si>
  <si>
    <t>住宅の省エネルギー基準の解説（第３版）より</t>
    <phoneticPr fontId="1"/>
  </si>
  <si>
    <t>外部</t>
    <rPh sb="0" eb="2">
      <t>ガイブ</t>
    </rPh>
    <phoneticPr fontId="1"/>
  </si>
  <si>
    <t>-</t>
    <phoneticPr fontId="1"/>
  </si>
  <si>
    <t>-</t>
    <phoneticPr fontId="1"/>
  </si>
  <si>
    <t>-</t>
    <phoneticPr fontId="1"/>
  </si>
  <si>
    <t>-</t>
    <phoneticPr fontId="1"/>
  </si>
  <si>
    <t>-</t>
    <phoneticPr fontId="1"/>
  </si>
  <si>
    <t>断熱木毛セメント板</t>
    <rPh sb="0" eb="2">
      <t>ダンネツ</t>
    </rPh>
    <rPh sb="2" eb="3">
      <t>モク</t>
    </rPh>
    <rPh sb="3" eb="4">
      <t>ケ</t>
    </rPh>
    <rPh sb="8" eb="9">
      <t>イタ</t>
    </rPh>
    <phoneticPr fontId="1"/>
  </si>
  <si>
    <t>木片セメント板</t>
    <rPh sb="0" eb="2">
      <t>モクヘン</t>
    </rPh>
    <rPh sb="6" eb="7">
      <t>イタ</t>
    </rPh>
    <phoneticPr fontId="1"/>
  </si>
  <si>
    <t>日本板硝子株式会社</t>
    <rPh sb="0" eb="2">
      <t>ニホン</t>
    </rPh>
    <rPh sb="2" eb="3">
      <t>イタ</t>
    </rPh>
    <rPh sb="3" eb="5">
      <t>ガラス</t>
    </rPh>
    <rPh sb="5" eb="7">
      <t>カブシキ</t>
    </rPh>
    <rPh sb="7" eb="9">
      <t>カイシャ</t>
    </rPh>
    <phoneticPr fontId="1"/>
  </si>
  <si>
    <t>PVC（塩化ビニル）</t>
    <rPh sb="4" eb="6">
      <t>エンカ</t>
    </rPh>
    <phoneticPr fontId="1"/>
  </si>
  <si>
    <t>部位</t>
    <rPh sb="0" eb="2">
      <t>ブイ</t>
    </rPh>
    <phoneticPr fontId="1"/>
  </si>
  <si>
    <t>床</t>
    <rPh sb="0" eb="1">
      <t>ユカ</t>
    </rPh>
    <phoneticPr fontId="1"/>
  </si>
  <si>
    <t>おがくず</t>
    <phoneticPr fontId="1"/>
  </si>
  <si>
    <t>かんなくず</t>
    <phoneticPr fontId="1"/>
  </si>
  <si>
    <t>マツ</t>
    <phoneticPr fontId="1"/>
  </si>
  <si>
    <t>なら</t>
    <phoneticPr fontId="1"/>
  </si>
  <si>
    <t>ぶな</t>
    <phoneticPr fontId="1"/>
  </si>
  <si>
    <t>ラワン</t>
    <phoneticPr fontId="1"/>
  </si>
  <si>
    <t>アスファルトタイル</t>
    <phoneticPr fontId="1"/>
  </si>
  <si>
    <t>※住宅の省エネルギー基準の解説より
※有効厚さの計算値は算定する材料の温度伝導率（熱伝導率/容積比熱）を普通コンクリートの温度伝導率で除し、0.2を乗じた値。
※解説書ではコンクリートの温度伝導率（0.813*10-6㎡/S）だが、単位を合わせるために、（熱伝導率/容積比熱）で算出した値を用いている。</t>
    <phoneticPr fontId="1"/>
  </si>
  <si>
    <t>アスファルトルーフィング22kg完全施工</t>
    <rPh sb="16" eb="18">
      <t>カンゼン</t>
    </rPh>
    <rPh sb="18" eb="20">
      <t>セコウ</t>
    </rPh>
    <phoneticPr fontId="1"/>
  </si>
  <si>
    <t>アスファルトルーフィング22kg雑施工</t>
    <rPh sb="16" eb="17">
      <t>ザツ</t>
    </rPh>
    <rPh sb="17" eb="19">
      <t>セコウ</t>
    </rPh>
    <phoneticPr fontId="1"/>
  </si>
  <si>
    <t>アスファルトフェルト20kg完全施工</t>
    <rPh sb="14" eb="16">
      <t>カンゼン</t>
    </rPh>
    <rPh sb="16" eb="18">
      <t>セコウ</t>
    </rPh>
    <phoneticPr fontId="1"/>
  </si>
  <si>
    <t>アスファルトフェルト20kg雑施工</t>
    <rPh sb="14" eb="15">
      <t>ザツ</t>
    </rPh>
    <rPh sb="15" eb="17">
      <t>セコウ</t>
    </rPh>
    <phoneticPr fontId="1"/>
  </si>
  <si>
    <t>芯材</t>
    <rPh sb="0" eb="1">
      <t>シン</t>
    </rPh>
    <rPh sb="1" eb="2">
      <t>ザイ</t>
    </rPh>
    <phoneticPr fontId="1"/>
  </si>
  <si>
    <t>土壌</t>
    <rPh sb="0" eb="2">
      <t>ドジョウ</t>
    </rPh>
    <phoneticPr fontId="1"/>
  </si>
  <si>
    <t>岩石</t>
    <rPh sb="0" eb="2">
      <t>ガンセキ</t>
    </rPh>
    <phoneticPr fontId="1"/>
  </si>
  <si>
    <t>セメント・モルタル</t>
    <phoneticPr fontId="1"/>
  </si>
  <si>
    <t>押出成形セメント板</t>
    <rPh sb="0" eb="2">
      <t>オシダシ</t>
    </rPh>
    <rPh sb="2" eb="4">
      <t>セイケイ</t>
    </rPh>
    <rPh sb="8" eb="9">
      <t>イタ</t>
    </rPh>
    <phoneticPr fontId="1"/>
  </si>
  <si>
    <t>れんが</t>
    <phoneticPr fontId="1"/>
  </si>
  <si>
    <t>アルミニウム</t>
    <phoneticPr fontId="1"/>
  </si>
  <si>
    <t>鋼</t>
    <rPh sb="0" eb="1">
      <t>ハガネ</t>
    </rPh>
    <phoneticPr fontId="1"/>
  </si>
  <si>
    <t>ガラス</t>
    <phoneticPr fontId="1"/>
  </si>
  <si>
    <t>畳床</t>
    <rPh sb="0" eb="1">
      <t>タタミ</t>
    </rPh>
    <rPh sb="1" eb="2">
      <t>ユカ</t>
    </rPh>
    <phoneticPr fontId="1"/>
  </si>
  <si>
    <t>ビニル系床材</t>
    <rPh sb="3" eb="4">
      <t>ケイ</t>
    </rPh>
    <rPh sb="4" eb="5">
      <t>ユカ</t>
    </rPh>
    <rPh sb="5" eb="6">
      <t>ザイ</t>
    </rPh>
    <phoneticPr fontId="1"/>
  </si>
  <si>
    <t>ロックウール化粧吸音板</t>
    <rPh sb="6" eb="8">
      <t>ケショウ</t>
    </rPh>
    <rPh sb="8" eb="11">
      <t>キュウオンバン</t>
    </rPh>
    <phoneticPr fontId="1"/>
  </si>
  <si>
    <t>Xs=EXP(1.32774+7.80136*10^-2*T-2.87894*10^-4*T^2+1.36152*10^-6*T^3+3.49024*10^-9*T^4-4.87306*10^-3*│T│)</t>
    <phoneticPr fontId="1"/>
  </si>
  <si>
    <t>-</t>
    <phoneticPr fontId="1"/>
  </si>
  <si>
    <t>表面湿気伝達抵抗</t>
    <rPh sb="0" eb="2">
      <t>ヒョウメン</t>
    </rPh>
    <rPh sb="2" eb="4">
      <t>シッケ</t>
    </rPh>
    <rPh sb="4" eb="6">
      <t>デンタツ</t>
    </rPh>
    <rPh sb="6" eb="8">
      <t>テイコウ</t>
    </rPh>
    <phoneticPr fontId="1"/>
  </si>
  <si>
    <t>表面結露の判定</t>
    <rPh sb="0" eb="2">
      <t>ヒョウメン</t>
    </rPh>
    <rPh sb="2" eb="4">
      <t>ケツロ</t>
    </rPh>
    <rPh sb="5" eb="7">
      <t>ハンテイ</t>
    </rPh>
    <phoneticPr fontId="1"/>
  </si>
  <si>
    <t>室内設定温度</t>
    <rPh sb="0" eb="2">
      <t>シツナイ</t>
    </rPh>
    <rPh sb="2" eb="4">
      <t>セッテイ</t>
    </rPh>
    <rPh sb="4" eb="6">
      <t>オンド</t>
    </rPh>
    <phoneticPr fontId="1"/>
  </si>
  <si>
    <t>室内表面温度</t>
    <rPh sb="0" eb="2">
      <t>シツナイ</t>
    </rPh>
    <rPh sb="2" eb="4">
      <t>ヒョウメン</t>
    </rPh>
    <rPh sb="4" eb="6">
      <t>オンド</t>
    </rPh>
    <phoneticPr fontId="1"/>
  </si>
  <si>
    <t>室内側表面</t>
    <rPh sb="0" eb="2">
      <t>シツナイ</t>
    </rPh>
    <rPh sb="2" eb="3">
      <t>ガワ</t>
    </rPh>
    <rPh sb="3" eb="5">
      <t>ヒョウメン</t>
    </rPh>
    <phoneticPr fontId="1"/>
  </si>
  <si>
    <t>住宅の省エネルギー基準の解説（第３版）より</t>
    <rPh sb="0" eb="2">
      <t>ジュウタク</t>
    </rPh>
    <rPh sb="3" eb="4">
      <t>ショウ</t>
    </rPh>
    <rPh sb="9" eb="11">
      <t>キジュン</t>
    </rPh>
    <rPh sb="12" eb="14">
      <t>カイセツ</t>
    </rPh>
    <rPh sb="15" eb="16">
      <t>ダイ</t>
    </rPh>
    <rPh sb="17" eb="18">
      <t>バン</t>
    </rPh>
    <phoneticPr fontId="1"/>
  </si>
  <si>
    <t>硬質ウレタンフォーム　1種</t>
    <rPh sb="0" eb="2">
      <t>コウシツ</t>
    </rPh>
    <rPh sb="12" eb="13">
      <t>シュ</t>
    </rPh>
    <phoneticPr fontId="1"/>
  </si>
  <si>
    <t>ポリエチレンフォーム1種</t>
    <rPh sb="11" eb="12">
      <t>シュ</t>
    </rPh>
    <phoneticPr fontId="1"/>
  </si>
  <si>
    <t>ポリエチレンフォーム2種</t>
    <rPh sb="11" eb="12">
      <t>シュ</t>
    </rPh>
    <phoneticPr fontId="1"/>
  </si>
  <si>
    <t>ポリエチレンフォーム3種</t>
    <rPh sb="11" eb="12">
      <t>シュ</t>
    </rPh>
    <phoneticPr fontId="1"/>
  </si>
  <si>
    <t>部　位</t>
    <rPh sb="0" eb="1">
      <t>ブ</t>
    </rPh>
    <rPh sb="2" eb="3">
      <t>クライ</t>
    </rPh>
    <phoneticPr fontId="1"/>
  </si>
  <si>
    <t>10mm以上</t>
    <rPh sb="4" eb="6">
      <t>イジョウ</t>
    </rPh>
    <phoneticPr fontId="1"/>
  </si>
  <si>
    <t>[%]</t>
    <phoneticPr fontId="1"/>
  </si>
  <si>
    <t>砂岩</t>
    <rPh sb="0" eb="2">
      <t>サガン</t>
    </rPh>
    <phoneticPr fontId="1"/>
  </si>
  <si>
    <t>天然スレート</t>
    <rPh sb="0" eb="2">
      <t>テンネン</t>
    </rPh>
    <phoneticPr fontId="1"/>
  </si>
  <si>
    <t>屋根：通気層9mm以上+外装</t>
    <phoneticPr fontId="1"/>
  </si>
  <si>
    <t>砂壁（仕上げ）</t>
    <rPh sb="0" eb="1">
      <t>スナ</t>
    </rPh>
    <rPh sb="1" eb="2">
      <t>カベ</t>
    </rPh>
    <rPh sb="3" eb="5">
      <t>シア</t>
    </rPh>
    <phoneticPr fontId="1"/>
  </si>
  <si>
    <t>すさ入荒木田土</t>
    <rPh sb="2" eb="3">
      <t>イ</t>
    </rPh>
    <rPh sb="3" eb="4">
      <t>アラ</t>
    </rPh>
    <rPh sb="4" eb="5">
      <t>キ</t>
    </rPh>
    <rPh sb="5" eb="6">
      <t>タ</t>
    </rPh>
    <rPh sb="6" eb="7">
      <t>ツチ</t>
    </rPh>
    <phoneticPr fontId="1"/>
  </si>
  <si>
    <t>素材１</t>
    <rPh sb="0" eb="2">
      <t>ソザイ</t>
    </rPh>
    <phoneticPr fontId="1"/>
  </si>
  <si>
    <t>素材２</t>
    <rPh sb="0" eb="2">
      <t>ソザイ</t>
    </rPh>
    <phoneticPr fontId="1"/>
  </si>
  <si>
    <t>素材３</t>
    <rPh sb="0" eb="2">
      <t>ソザイ</t>
    </rPh>
    <phoneticPr fontId="1"/>
  </si>
  <si>
    <t>素材４</t>
    <rPh sb="0" eb="2">
      <t>ソザイ</t>
    </rPh>
    <phoneticPr fontId="1"/>
  </si>
  <si>
    <t>素材５</t>
    <rPh sb="0" eb="2">
      <t>ソザイ</t>
    </rPh>
    <phoneticPr fontId="1"/>
  </si>
  <si>
    <t>相対湿度</t>
    <rPh sb="0" eb="2">
      <t>ソウタイ</t>
    </rPh>
    <rPh sb="2" eb="4">
      <t>シツド</t>
    </rPh>
    <phoneticPr fontId="1"/>
  </si>
  <si>
    <t>[W/m･K]</t>
    <phoneticPr fontId="1"/>
  </si>
  <si>
    <t>吹付けロックウール</t>
    <rPh sb="0" eb="1">
      <t>フ</t>
    </rPh>
    <rPh sb="1" eb="2">
      <t>ツ</t>
    </rPh>
    <phoneticPr fontId="1"/>
  </si>
  <si>
    <t>比熱</t>
    <rPh sb="0" eb="1">
      <t>ヒ</t>
    </rPh>
    <rPh sb="1" eb="2">
      <t>ネツ</t>
    </rPh>
    <phoneticPr fontId="1"/>
  </si>
  <si>
    <t>蓄熱有効厚さ</t>
    <rPh sb="0" eb="2">
      <t>チクネツ</t>
    </rPh>
    <rPh sb="2" eb="4">
      <t>ユウコウ</t>
    </rPh>
    <rPh sb="4" eb="5">
      <t>アツ</t>
    </rPh>
    <phoneticPr fontId="1"/>
  </si>
  <si>
    <t>■繊維系断熱材</t>
    <rPh sb="1" eb="3">
      <t>センイ</t>
    </rPh>
    <rPh sb="3" eb="4">
      <t>ケイ</t>
    </rPh>
    <rPh sb="4" eb="6">
      <t>ダンネツ</t>
    </rPh>
    <rPh sb="6" eb="7">
      <t>ザイ</t>
    </rPh>
    <phoneticPr fontId="1"/>
  </si>
  <si>
    <t>■シート類</t>
    <rPh sb="4" eb="5">
      <t>ルイ</t>
    </rPh>
    <phoneticPr fontId="1"/>
  </si>
  <si>
    <t>住宅用プラスチック系防湿フィルムA種</t>
    <rPh sb="0" eb="3">
      <t>ジュウタクヨウ</t>
    </rPh>
    <rPh sb="9" eb="10">
      <t>ケイ</t>
    </rPh>
    <rPh sb="10" eb="12">
      <t>ボウシツ</t>
    </rPh>
    <rPh sb="17" eb="18">
      <t>シュ</t>
    </rPh>
    <phoneticPr fontId="1"/>
  </si>
  <si>
    <t>住宅用プラスチック系防湿フィルムB種</t>
    <rPh sb="0" eb="3">
      <t>ジュウタクヨウ</t>
    </rPh>
    <rPh sb="9" eb="10">
      <t>ケイ</t>
    </rPh>
    <rPh sb="10" eb="12">
      <t>ボウシツ</t>
    </rPh>
    <rPh sb="17" eb="18">
      <t>シュ</t>
    </rPh>
    <phoneticPr fontId="1"/>
  </si>
  <si>
    <t>■塗料類</t>
    <rPh sb="1" eb="3">
      <t>トリョウ</t>
    </rPh>
    <rPh sb="3" eb="4">
      <t>ルイ</t>
    </rPh>
    <phoneticPr fontId="1"/>
  </si>
  <si>
    <t>■表面伝達抵抗</t>
    <rPh sb="1" eb="3">
      <t>ヒョウメン</t>
    </rPh>
    <rPh sb="3" eb="5">
      <t>デンタツ</t>
    </rPh>
    <rPh sb="5" eb="7">
      <t>テイコウ</t>
    </rPh>
    <phoneticPr fontId="1"/>
  </si>
  <si>
    <t>■追加素材</t>
    <rPh sb="1" eb="3">
      <t>ツイカ</t>
    </rPh>
    <rPh sb="3" eb="5">
      <t>ソザイ</t>
    </rPh>
    <phoneticPr fontId="1"/>
  </si>
  <si>
    <t>普通レンガ</t>
    <rPh sb="0" eb="2">
      <t>フツウ</t>
    </rPh>
    <phoneticPr fontId="1"/>
  </si>
  <si>
    <t>耐火レンガ</t>
    <rPh sb="0" eb="2">
      <t>タイカ</t>
    </rPh>
    <phoneticPr fontId="1"/>
  </si>
  <si>
    <t>銅</t>
    <rPh sb="0" eb="1">
      <t>ドウ</t>
    </rPh>
    <phoneticPr fontId="1"/>
  </si>
  <si>
    <t>鉛</t>
    <rPh sb="0" eb="1">
      <t>ナマリ</t>
    </rPh>
    <phoneticPr fontId="1"/>
  </si>
  <si>
    <t>ステンレス鋼</t>
    <rPh sb="5" eb="6">
      <t>コウ</t>
    </rPh>
    <phoneticPr fontId="1"/>
  </si>
  <si>
    <t>土壁</t>
    <rPh sb="0" eb="1">
      <t>ツチ</t>
    </rPh>
    <rPh sb="1" eb="2">
      <t>カベ</t>
    </rPh>
    <phoneticPr fontId="1"/>
  </si>
  <si>
    <t>繊維質上塗材</t>
    <rPh sb="0" eb="2">
      <t>センイ</t>
    </rPh>
    <rPh sb="2" eb="3">
      <t>シツ</t>
    </rPh>
    <rPh sb="3" eb="5">
      <t>ウワヌ</t>
    </rPh>
    <rPh sb="5" eb="6">
      <t>ザイ</t>
    </rPh>
    <phoneticPr fontId="1"/>
  </si>
  <si>
    <t>透湿防水シート</t>
    <rPh sb="0" eb="1">
      <t>トオル</t>
    </rPh>
    <rPh sb="1" eb="2">
      <t>シツ</t>
    </rPh>
    <rPh sb="2" eb="4">
      <t>ボウスイ</t>
    </rPh>
    <phoneticPr fontId="1"/>
  </si>
  <si>
    <t>雑施工</t>
    <rPh sb="0" eb="1">
      <t>ザツ</t>
    </rPh>
    <rPh sb="1" eb="3">
      <t>セコウ</t>
    </rPh>
    <phoneticPr fontId="1"/>
  </si>
  <si>
    <t>スギ（辺材）</t>
    <rPh sb="3" eb="4">
      <t>ヘン</t>
    </rPh>
    <rPh sb="4" eb="5">
      <t>ザイ</t>
    </rPh>
    <phoneticPr fontId="1"/>
  </si>
  <si>
    <t>測定湿度40%</t>
    <rPh sb="0" eb="2">
      <t>ソクテイ</t>
    </rPh>
    <rPh sb="2" eb="4">
      <t>シツド</t>
    </rPh>
    <phoneticPr fontId="1"/>
  </si>
  <si>
    <t>天然木材1種（杉･檜･えぞ松･とど松）</t>
    <rPh sb="0" eb="2">
      <t>テンネン</t>
    </rPh>
    <rPh sb="2" eb="4">
      <t>モクザイ</t>
    </rPh>
    <rPh sb="5" eb="6">
      <t>シュ</t>
    </rPh>
    <rPh sb="7" eb="8">
      <t>スギ</t>
    </rPh>
    <rPh sb="9" eb="10">
      <t>ヒノキ</t>
    </rPh>
    <rPh sb="13" eb="14">
      <t>マツ</t>
    </rPh>
    <rPh sb="17" eb="18">
      <t>マツ</t>
    </rPh>
    <phoneticPr fontId="1"/>
  </si>
  <si>
    <t>モイスＴＭ（耐力面材）</t>
    <rPh sb="6" eb="8">
      <t>タイリョク</t>
    </rPh>
    <rPh sb="8" eb="9">
      <t>メン</t>
    </rPh>
    <rPh sb="9" eb="10">
      <t>ザイ</t>
    </rPh>
    <phoneticPr fontId="1"/>
  </si>
  <si>
    <t>モイス（内装材）</t>
    <rPh sb="4" eb="6">
      <t>ナイソウ</t>
    </rPh>
    <rPh sb="6" eb="7">
      <t>ザイ</t>
    </rPh>
    <phoneticPr fontId="1"/>
  </si>
  <si>
    <t>鉄筋人工軽量骨材コンクリート板</t>
    <rPh sb="0" eb="2">
      <t>テッキン</t>
    </rPh>
    <rPh sb="2" eb="4">
      <t>ジンコウ</t>
    </rPh>
    <rPh sb="4" eb="6">
      <t>ケイリョウ</t>
    </rPh>
    <rPh sb="6" eb="8">
      <t>コツザイ</t>
    </rPh>
    <rPh sb="14" eb="15">
      <t>イタ</t>
    </rPh>
    <phoneticPr fontId="1"/>
  </si>
  <si>
    <t>出典</t>
    <phoneticPr fontId="1"/>
  </si>
  <si>
    <t>mm</t>
    <phoneticPr fontId="1"/>
  </si>
  <si>
    <t>アクリルガラス</t>
    <phoneticPr fontId="1"/>
  </si>
  <si>
    <t>ポリウレタン</t>
    <phoneticPr fontId="1"/>
  </si>
  <si>
    <t>シリコン</t>
    <phoneticPr fontId="1"/>
  </si>
  <si>
    <t>ブチルゴム</t>
    <phoneticPr fontId="1"/>
  </si>
  <si>
    <t>タイル</t>
    <phoneticPr fontId="1"/>
  </si>
  <si>
    <t>プラスチックタイル</t>
    <phoneticPr fontId="1"/>
  </si>
  <si>
    <t>カーペット</t>
    <phoneticPr fontId="1"/>
  </si>
  <si>
    <t>ゴムタイル</t>
    <phoneticPr fontId="1"/>
  </si>
  <si>
    <t>リノリウム</t>
    <phoneticPr fontId="1"/>
  </si>
  <si>
    <t>エナメル（美濃紙0.12mm下地）</t>
    <phoneticPr fontId="1"/>
  </si>
  <si>
    <t>ペイント（美濃紙0.12mm下地）</t>
    <phoneticPr fontId="1"/>
  </si>
  <si>
    <t>（石綿セメント板に塗った塗膜）</t>
    <phoneticPr fontId="1"/>
  </si>
  <si>
    <t>厚さd</t>
    <rPh sb="0" eb="1">
      <t>アツ</t>
    </rPh>
    <phoneticPr fontId="1"/>
  </si>
  <si>
    <t>透湿抵抗R'</t>
    <rPh sb="0" eb="1">
      <t>トオル</t>
    </rPh>
    <rPh sb="1" eb="2">
      <t>シツ</t>
    </rPh>
    <rPh sb="2" eb="4">
      <t>テイコウ</t>
    </rPh>
    <phoneticPr fontId="1"/>
  </si>
  <si>
    <t>熱伝導抵抗R</t>
    <rPh sb="0" eb="1">
      <t>ネツ</t>
    </rPh>
    <rPh sb="1" eb="3">
      <t>デンドウ</t>
    </rPh>
    <rPh sb="3" eb="5">
      <t>テイコウ</t>
    </rPh>
    <phoneticPr fontId="1"/>
  </si>
  <si>
    <t>石綿スレート</t>
    <rPh sb="0" eb="2">
      <t>セキメン</t>
    </rPh>
    <phoneticPr fontId="1"/>
  </si>
  <si>
    <t>窯業系サイディング（塗装有）</t>
    <rPh sb="0" eb="2">
      <t>ヨウギョウ</t>
    </rPh>
    <rPh sb="2" eb="3">
      <t>ケイ</t>
    </rPh>
    <rPh sb="10" eb="12">
      <t>トソウ</t>
    </rPh>
    <rPh sb="12" eb="13">
      <t>アリ</t>
    </rPh>
    <phoneticPr fontId="1"/>
  </si>
  <si>
    <t>窯業系サイディング（無塗装）</t>
    <rPh sb="0" eb="2">
      <t>ヨウギョウ</t>
    </rPh>
    <rPh sb="2" eb="3">
      <t>ケイ</t>
    </rPh>
    <rPh sb="10" eb="11">
      <t>ム</t>
    </rPh>
    <rPh sb="11" eb="13">
      <t>トソウ</t>
    </rPh>
    <phoneticPr fontId="1"/>
  </si>
  <si>
    <t>一般ビニル壁紙</t>
    <rPh sb="0" eb="2">
      <t>イッパン</t>
    </rPh>
    <rPh sb="5" eb="6">
      <t>カベ</t>
    </rPh>
    <rPh sb="6" eb="7">
      <t>カミ</t>
    </rPh>
    <phoneticPr fontId="1"/>
  </si>
  <si>
    <t>通気性壁紙</t>
    <rPh sb="0" eb="2">
      <t>ツウキ</t>
    </rPh>
    <rPh sb="2" eb="3">
      <t>セイ</t>
    </rPh>
    <rPh sb="3" eb="5">
      <t>カベガミ</t>
    </rPh>
    <phoneticPr fontId="1"/>
  </si>
  <si>
    <t>ふすま紙</t>
    <rPh sb="3" eb="4">
      <t>カミ</t>
    </rPh>
    <phoneticPr fontId="1"/>
  </si>
  <si>
    <t>しぶ（美濃紙0.12mm下地）</t>
    <rPh sb="3" eb="5">
      <t>ミノ</t>
    </rPh>
    <rPh sb="5" eb="6">
      <t>カミ</t>
    </rPh>
    <rPh sb="12" eb="14">
      <t>シタジ</t>
    </rPh>
    <phoneticPr fontId="1"/>
  </si>
  <si>
    <t>あまに油（美濃紙0.12mm下地）</t>
    <rPh sb="3" eb="4">
      <t>アブラ</t>
    </rPh>
    <phoneticPr fontId="1"/>
  </si>
  <si>
    <t>えの油（美濃紙0.12mm下地）</t>
    <rPh sb="2" eb="3">
      <t>アブラ</t>
    </rPh>
    <phoneticPr fontId="1"/>
  </si>
  <si>
    <t>障子紙</t>
    <rPh sb="0" eb="2">
      <t>ショウジ</t>
    </rPh>
    <rPh sb="2" eb="3">
      <t>カミ</t>
    </rPh>
    <phoneticPr fontId="1"/>
  </si>
  <si>
    <t>美濃紙（手漉き）</t>
    <rPh sb="0" eb="2">
      <t>ミノ</t>
    </rPh>
    <rPh sb="2" eb="3">
      <t>カミ</t>
    </rPh>
    <rPh sb="4" eb="6">
      <t>テス</t>
    </rPh>
    <phoneticPr fontId="1"/>
  </si>
  <si>
    <t>美濃紙（機械漉き）</t>
    <rPh sb="0" eb="2">
      <t>ミノ</t>
    </rPh>
    <rPh sb="2" eb="3">
      <t>カミ</t>
    </rPh>
    <rPh sb="4" eb="6">
      <t>キカイ</t>
    </rPh>
    <rPh sb="6" eb="7">
      <t>ス</t>
    </rPh>
    <phoneticPr fontId="1"/>
  </si>
  <si>
    <t>厚紙</t>
    <rPh sb="0" eb="2">
      <t>アツガミ</t>
    </rPh>
    <phoneticPr fontId="1"/>
  </si>
  <si>
    <t>吹き付けタイル</t>
    <rPh sb="0" eb="1">
      <t>フ</t>
    </rPh>
    <rPh sb="2" eb="3">
      <t>ツ</t>
    </rPh>
    <phoneticPr fontId="1"/>
  </si>
  <si>
    <t>スタイロ畳</t>
    <rPh sb="4" eb="5">
      <t>タタミ</t>
    </rPh>
    <phoneticPr fontId="1"/>
  </si>
  <si>
    <t>防水塗膜　吹き付け(3kg/㎡)</t>
    <rPh sb="0" eb="2">
      <t>ボウスイ</t>
    </rPh>
    <rPh sb="2" eb="3">
      <t>ト</t>
    </rPh>
    <rPh sb="3" eb="4">
      <t>マク</t>
    </rPh>
    <rPh sb="5" eb="6">
      <t>フ</t>
    </rPh>
    <rPh sb="7" eb="8">
      <t>ツ</t>
    </rPh>
    <phoneticPr fontId="1"/>
  </si>
  <si>
    <t>防水塗膜　ロンコート(2kg/㎡)</t>
    <rPh sb="0" eb="2">
      <t>ボウスイ</t>
    </rPh>
    <rPh sb="2" eb="3">
      <t>ト</t>
    </rPh>
    <rPh sb="3" eb="4">
      <t>マク</t>
    </rPh>
    <phoneticPr fontId="1"/>
  </si>
  <si>
    <t>防水塗膜　下地処理含む</t>
    <rPh sb="0" eb="2">
      <t>ボウスイ</t>
    </rPh>
    <rPh sb="2" eb="3">
      <t>ト</t>
    </rPh>
    <rPh sb="3" eb="4">
      <t>マク</t>
    </rPh>
    <rPh sb="5" eb="7">
      <t>シタジ</t>
    </rPh>
    <rPh sb="7" eb="9">
      <t>ショリ</t>
    </rPh>
    <rPh sb="9" eb="10">
      <t>フク</t>
    </rPh>
    <phoneticPr fontId="1"/>
  </si>
  <si>
    <t>室内表面</t>
    <phoneticPr fontId="1"/>
  </si>
  <si>
    <t>室外表面</t>
    <phoneticPr fontId="1"/>
  </si>
  <si>
    <t xml:space="preserve">名　称 </t>
    <rPh sb="0" eb="1">
      <t>ナ</t>
    </rPh>
    <rPh sb="2" eb="3">
      <t>ショウ</t>
    </rPh>
    <phoneticPr fontId="1"/>
  </si>
  <si>
    <t>壁サンプル</t>
    <rPh sb="0" eb="1">
      <t>カベ</t>
    </rPh>
    <phoneticPr fontId="1"/>
  </si>
  <si>
    <t>結露の種類</t>
    <rPh sb="0" eb="2">
      <t>ケツロ</t>
    </rPh>
    <rPh sb="3" eb="5">
      <t>シュルイ</t>
    </rPh>
    <phoneticPr fontId="1"/>
  </si>
  <si>
    <t>室　内</t>
    <rPh sb="0" eb="1">
      <t>シツ</t>
    </rPh>
    <rPh sb="2" eb="3">
      <t>ナイ</t>
    </rPh>
    <phoneticPr fontId="1"/>
  </si>
  <si>
    <t>温　度</t>
    <rPh sb="0" eb="1">
      <t>アツシ</t>
    </rPh>
    <rPh sb="2" eb="3">
      <t>ド</t>
    </rPh>
    <phoneticPr fontId="1"/>
  </si>
  <si>
    <t>外　気</t>
    <rPh sb="0" eb="1">
      <t>ソト</t>
    </rPh>
    <rPh sb="2" eb="3">
      <t>キ</t>
    </rPh>
    <phoneticPr fontId="1"/>
  </si>
  <si>
    <t>厚み</t>
    <rPh sb="0" eb="1">
      <t>アツ</t>
    </rPh>
    <phoneticPr fontId="1"/>
  </si>
  <si>
    <t>累積厚み</t>
    <rPh sb="0" eb="2">
      <t>ルイセキ</t>
    </rPh>
    <rPh sb="2" eb="3">
      <t>アツ</t>
    </rPh>
    <phoneticPr fontId="1"/>
  </si>
  <si>
    <t>境界面温度</t>
    <rPh sb="0" eb="3">
      <t>キョウカイメン</t>
    </rPh>
    <rPh sb="3" eb="5">
      <t>オンド</t>
    </rPh>
    <phoneticPr fontId="1"/>
  </si>
  <si>
    <t>露点温度</t>
    <rPh sb="0" eb="2">
      <t>ロテン</t>
    </rPh>
    <rPh sb="2" eb="4">
      <t>オンド</t>
    </rPh>
    <phoneticPr fontId="1"/>
  </si>
  <si>
    <t>湿　度</t>
    <rPh sb="0" eb="1">
      <t>シツ</t>
    </rPh>
    <rPh sb="2" eb="3">
      <t>ド</t>
    </rPh>
    <phoneticPr fontId="1"/>
  </si>
  <si>
    <t>温度</t>
    <rPh sb="0" eb="2">
      <t>オンド</t>
    </rPh>
    <phoneticPr fontId="1"/>
  </si>
  <si>
    <t>湿度</t>
    <rPh sb="0" eb="2">
      <t>シツド</t>
    </rPh>
    <phoneticPr fontId="1"/>
  </si>
  <si>
    <t>実在水蒸気圧</t>
    <rPh sb="0" eb="2">
      <t>ジツザイ</t>
    </rPh>
    <rPh sb="2" eb="5">
      <t>スイジョウキ</t>
    </rPh>
    <rPh sb="5" eb="6">
      <t>アツ</t>
    </rPh>
    <phoneticPr fontId="1"/>
  </si>
  <si>
    <t>室内温湿度</t>
    <rPh sb="0" eb="2">
      <t>シツナイ</t>
    </rPh>
    <rPh sb="2" eb="5">
      <t>オンシツド</t>
    </rPh>
    <phoneticPr fontId="1"/>
  </si>
  <si>
    <t>透湿比抵抗ξ</t>
    <phoneticPr fontId="1"/>
  </si>
  <si>
    <t>透湿抵抗 'R=d×ξ</t>
    <rPh sb="0" eb="1">
      <t>トオル</t>
    </rPh>
    <rPh sb="1" eb="2">
      <t>シツ</t>
    </rPh>
    <rPh sb="2" eb="4">
      <t>テイコウ</t>
    </rPh>
    <phoneticPr fontId="1"/>
  </si>
  <si>
    <t>飽和水蒸気圧</t>
    <rPh sb="0" eb="2">
      <t>ホウワ</t>
    </rPh>
    <rPh sb="2" eb="5">
      <t>スイジョウキ</t>
    </rPh>
    <rPh sb="5" eb="6">
      <t>アツ</t>
    </rPh>
    <phoneticPr fontId="1"/>
  </si>
  <si>
    <t>結露判定</t>
    <rPh sb="0" eb="2">
      <t>ケツロ</t>
    </rPh>
    <rPh sb="2" eb="4">
      <t>ハンテイ</t>
    </rPh>
    <phoneticPr fontId="1"/>
  </si>
  <si>
    <t>境界面飽和絶対湿度</t>
    <rPh sb="0" eb="3">
      <t>キョウカイメン</t>
    </rPh>
    <rPh sb="3" eb="5">
      <t>ホウワ</t>
    </rPh>
    <rPh sb="5" eb="7">
      <t>ゼッタイ</t>
    </rPh>
    <rPh sb="7" eb="9">
      <t>シツド</t>
    </rPh>
    <phoneticPr fontId="1"/>
  </si>
  <si>
    <t>外気温湿度</t>
    <rPh sb="0" eb="2">
      <t>ガイキ</t>
    </rPh>
    <rPh sb="2" eb="5">
      <t>オンシツド</t>
    </rPh>
    <phoneticPr fontId="1"/>
  </si>
  <si>
    <t>表面</t>
    <rPh sb="0" eb="2">
      <t>ヒョウメン</t>
    </rPh>
    <phoneticPr fontId="1"/>
  </si>
  <si>
    <t>[m･s･Pa/ng]</t>
    <phoneticPr fontId="1"/>
  </si>
  <si>
    <t>(mm]</t>
    <phoneticPr fontId="1"/>
  </si>
  <si>
    <t>(㎡･K/W]</t>
    <phoneticPr fontId="1"/>
  </si>
  <si>
    <t>[㎡･s･Pa/ng]</t>
    <phoneticPr fontId="1"/>
  </si>
  <si>
    <t>Φ</t>
    <phoneticPr fontId="1"/>
  </si>
  <si>
    <t>[℃]</t>
    <phoneticPr fontId="1"/>
  </si>
  <si>
    <t>[Pa]</t>
    <phoneticPr fontId="1"/>
  </si>
  <si>
    <t>[g/kg']</t>
    <phoneticPr fontId="1"/>
  </si>
  <si>
    <t>伝達抵抗 Ri</t>
    <phoneticPr fontId="1"/>
  </si>
  <si>
    <t>夏期</t>
    <rPh sb="0" eb="2">
      <t>カキ</t>
    </rPh>
    <phoneticPr fontId="1"/>
  </si>
  <si>
    <t>天然木材2種（松･ラワン等）</t>
    <rPh sb="0" eb="2">
      <t>テンネン</t>
    </rPh>
    <rPh sb="2" eb="4">
      <t>モクザイ</t>
    </rPh>
    <rPh sb="5" eb="6">
      <t>シュ</t>
    </rPh>
    <rPh sb="7" eb="8">
      <t>マツ</t>
    </rPh>
    <rPh sb="12" eb="13">
      <t>トウ</t>
    </rPh>
    <phoneticPr fontId="1"/>
  </si>
  <si>
    <t>天然木材3種（ナラ･サクラ･ブナ等）</t>
    <rPh sb="0" eb="2">
      <t>テンネン</t>
    </rPh>
    <rPh sb="2" eb="4">
      <t>モクザイ</t>
    </rPh>
    <rPh sb="5" eb="6">
      <t>シュ</t>
    </rPh>
    <rPh sb="16" eb="17">
      <t>トウ</t>
    </rPh>
    <phoneticPr fontId="1"/>
  </si>
  <si>
    <t>フタール系杉板刷毛塗り２回</t>
    <rPh sb="4" eb="5">
      <t>ケイ</t>
    </rPh>
    <rPh sb="5" eb="6">
      <t>スギ</t>
    </rPh>
    <rPh sb="6" eb="7">
      <t>イタ</t>
    </rPh>
    <rPh sb="7" eb="9">
      <t>ハケ</t>
    </rPh>
    <rPh sb="9" eb="10">
      <t>ヌ</t>
    </rPh>
    <rPh sb="11" eb="13">
      <t>ニカイ</t>
    </rPh>
    <phoneticPr fontId="1"/>
  </si>
  <si>
    <t>KJ/kg℃</t>
    <phoneticPr fontId="1"/>
  </si>
  <si>
    <t>ｍ</t>
    <phoneticPr fontId="1"/>
  </si>
  <si>
    <t>ウールブレス（バージン）</t>
    <phoneticPr fontId="1"/>
  </si>
  <si>
    <t>ウールブレス（リサイクル）</t>
    <phoneticPr fontId="1"/>
  </si>
  <si>
    <t>セラミックス板（施釉陶板）</t>
    <rPh sb="6" eb="7">
      <t>イタ</t>
    </rPh>
    <rPh sb="8" eb="9">
      <t>シ</t>
    </rPh>
    <rPh sb="9" eb="10">
      <t>ウワグスリ</t>
    </rPh>
    <rPh sb="10" eb="12">
      <t>トウバン</t>
    </rPh>
    <phoneticPr fontId="1"/>
  </si>
  <si>
    <t>外壁施工タイル</t>
    <rPh sb="0" eb="2">
      <t>ガイヘキ</t>
    </rPh>
    <rPh sb="2" eb="4">
      <t>セコウ</t>
    </rPh>
    <phoneticPr fontId="1"/>
  </si>
  <si>
    <t>タイル目地</t>
    <rPh sb="3" eb="5">
      <t>メジ</t>
    </rPh>
    <phoneticPr fontId="1"/>
  </si>
  <si>
    <t>素材８</t>
    <rPh sb="0" eb="2">
      <t>ソザイ</t>
    </rPh>
    <phoneticPr fontId="1"/>
  </si>
  <si>
    <t>素材９</t>
    <rPh sb="0" eb="2">
      <t>ソザイ</t>
    </rPh>
    <phoneticPr fontId="1"/>
  </si>
  <si>
    <t>大理石</t>
    <rPh sb="0" eb="2">
      <t>ダイリ</t>
    </rPh>
    <rPh sb="2" eb="3">
      <t>イシ</t>
    </rPh>
    <phoneticPr fontId="1"/>
  </si>
  <si>
    <t>花崗岩</t>
    <rPh sb="0" eb="3">
      <t>カコウガン</t>
    </rPh>
    <phoneticPr fontId="1"/>
  </si>
  <si>
    <t>石灰岩</t>
    <rPh sb="0" eb="3">
      <t>セッカイガン</t>
    </rPh>
    <phoneticPr fontId="1"/>
  </si>
  <si>
    <t>大谷石</t>
    <rPh sb="0" eb="2">
      <t>オオヤ</t>
    </rPh>
    <rPh sb="2" eb="3">
      <t>イシ</t>
    </rPh>
    <phoneticPr fontId="1"/>
  </si>
  <si>
    <t>ネオマフォーム</t>
    <phoneticPr fontId="1"/>
  </si>
  <si>
    <t>フェノバボード</t>
    <phoneticPr fontId="1"/>
  </si>
  <si>
    <t>ホンパネル</t>
    <phoneticPr fontId="1"/>
  </si>
  <si>
    <t>ラスボード</t>
    <phoneticPr fontId="1"/>
  </si>
  <si>
    <t>シージングボード</t>
    <phoneticPr fontId="1"/>
  </si>
  <si>
    <t>Jパネル</t>
    <phoneticPr fontId="1"/>
  </si>
  <si>
    <t>OSB</t>
    <phoneticPr fontId="1"/>
  </si>
  <si>
    <t>400-600</t>
    <phoneticPr fontId="1"/>
  </si>
  <si>
    <t>パーティクルボード</t>
    <phoneticPr fontId="1"/>
  </si>
  <si>
    <t>タタミボード</t>
    <phoneticPr fontId="1"/>
  </si>
  <si>
    <t>モルタル（調合1:2）</t>
    <phoneticPr fontId="1"/>
  </si>
  <si>
    <t>せっこうプラスター</t>
    <phoneticPr fontId="1"/>
  </si>
  <si>
    <t>ポリエチレンフィルム</t>
    <phoneticPr fontId="1"/>
  </si>
  <si>
    <t>ビニルシート</t>
    <phoneticPr fontId="1"/>
  </si>
  <si>
    <t>フォームスチレンペーパー</t>
    <phoneticPr fontId="1"/>
  </si>
  <si>
    <t>外壁　室内面</t>
    <rPh sb="0" eb="2">
      <t>ガイヘキ</t>
    </rPh>
    <rPh sb="3" eb="5">
      <t>シツナイ</t>
    </rPh>
    <rPh sb="5" eb="6">
      <t>メン</t>
    </rPh>
    <phoneticPr fontId="1"/>
  </si>
  <si>
    <t>容積比熱</t>
    <rPh sb="0" eb="2">
      <t>ヨウセキ</t>
    </rPh>
    <rPh sb="2" eb="3">
      <t>ヒ</t>
    </rPh>
    <rPh sb="3" eb="4">
      <t>ネツ</t>
    </rPh>
    <phoneticPr fontId="1"/>
  </si>
  <si>
    <t>外壁　外気面</t>
    <rPh sb="0" eb="2">
      <t>ガイヘキ</t>
    </rPh>
    <rPh sb="3" eb="5">
      <t>ガイキ</t>
    </rPh>
    <rPh sb="5" eb="6">
      <t>メン</t>
    </rPh>
    <phoneticPr fontId="1"/>
  </si>
  <si>
    <t>外壁　通気層面</t>
    <rPh sb="0" eb="2">
      <t>ガイヘキ</t>
    </rPh>
    <rPh sb="3" eb="5">
      <t>ツウキ</t>
    </rPh>
    <rPh sb="5" eb="6">
      <t>ソウ</t>
    </rPh>
    <rPh sb="6" eb="7">
      <t>メン</t>
    </rPh>
    <phoneticPr fontId="1"/>
  </si>
  <si>
    <t>床　室内面</t>
    <rPh sb="0" eb="1">
      <t>ユカ</t>
    </rPh>
    <rPh sb="2" eb="4">
      <t>シツナイ</t>
    </rPh>
    <rPh sb="4" eb="5">
      <t>メン</t>
    </rPh>
    <phoneticPr fontId="1"/>
  </si>
  <si>
    <t>床　外気面</t>
    <rPh sb="0" eb="1">
      <t>ユカ</t>
    </rPh>
    <rPh sb="2" eb="4">
      <t>ガイキ</t>
    </rPh>
    <rPh sb="4" eb="5">
      <t>メン</t>
    </rPh>
    <phoneticPr fontId="1"/>
  </si>
  <si>
    <t>通気シージングボード</t>
    <rPh sb="0" eb="2">
      <t>ツウキ</t>
    </rPh>
    <phoneticPr fontId="1"/>
  </si>
  <si>
    <t>ラワン合板</t>
    <rPh sb="3" eb="5">
      <t>ゴウハン</t>
    </rPh>
    <phoneticPr fontId="1"/>
  </si>
  <si>
    <t>シナ合板</t>
    <rPh sb="2" eb="4">
      <t>ゴウハン</t>
    </rPh>
    <phoneticPr fontId="1"/>
  </si>
  <si>
    <t>難燃木毛セメント板</t>
    <rPh sb="0" eb="2">
      <t>ナンネン</t>
    </rPh>
    <phoneticPr fontId="1"/>
  </si>
  <si>
    <t>木毛セメント板</t>
    <rPh sb="0" eb="1">
      <t>モク</t>
    </rPh>
    <rPh sb="1" eb="2">
      <t>ケ</t>
    </rPh>
    <rPh sb="6" eb="7">
      <t>イタ</t>
    </rPh>
    <phoneticPr fontId="1"/>
  </si>
  <si>
    <t>350未満</t>
    <rPh sb="3" eb="5">
      <t>ミマン</t>
    </rPh>
    <phoneticPr fontId="1"/>
  </si>
  <si>
    <t>B級インシュレーションボード</t>
    <rPh sb="1" eb="2">
      <t>キュウ</t>
    </rPh>
    <phoneticPr fontId="1"/>
  </si>
  <si>
    <t>270未満</t>
    <rPh sb="3" eb="5">
      <t>ミマン</t>
    </rPh>
    <phoneticPr fontId="1"/>
  </si>
  <si>
    <t>シージングボード（軟質繊維板）</t>
    <rPh sb="9" eb="11">
      <t>ナンシツ</t>
    </rPh>
    <rPh sb="11" eb="13">
      <t>センイ</t>
    </rPh>
    <rPh sb="13" eb="14">
      <t>イタ</t>
    </rPh>
    <phoneticPr fontId="1"/>
  </si>
  <si>
    <t>400未満</t>
    <rPh sb="3" eb="5">
      <t>ミマン</t>
    </rPh>
    <phoneticPr fontId="1"/>
  </si>
  <si>
    <t>PC板</t>
    <rPh sb="2" eb="3">
      <t>イタ</t>
    </rPh>
    <phoneticPr fontId="1"/>
  </si>
  <si>
    <t>重量コンクリートブロック</t>
    <rPh sb="0" eb="2">
      <t>ジュウリョウ</t>
    </rPh>
    <phoneticPr fontId="1"/>
  </si>
  <si>
    <t>軽量コンクリートブロック</t>
    <rPh sb="0" eb="2">
      <t>ケイリョウ</t>
    </rPh>
    <phoneticPr fontId="1"/>
  </si>
  <si>
    <t>砂しっくい</t>
    <rPh sb="0" eb="1">
      <t>スナ</t>
    </rPh>
    <phoneticPr fontId="1"/>
  </si>
  <si>
    <t>1地域</t>
    <rPh sb="1" eb="3">
      <t>チイキ</t>
    </rPh>
    <phoneticPr fontId="1"/>
  </si>
  <si>
    <t>2地域</t>
    <rPh sb="1" eb="3">
      <t>チイキ</t>
    </rPh>
    <phoneticPr fontId="1"/>
  </si>
  <si>
    <t>3地域</t>
    <rPh sb="1" eb="3">
      <t>チイキ</t>
    </rPh>
    <phoneticPr fontId="1"/>
  </si>
  <si>
    <t>4地域</t>
    <rPh sb="1" eb="3">
      <t>チイキ</t>
    </rPh>
    <phoneticPr fontId="1"/>
  </si>
  <si>
    <t>5地域</t>
    <rPh sb="1" eb="3">
      <t>チイキ</t>
    </rPh>
    <phoneticPr fontId="1"/>
  </si>
  <si>
    <t>地域区分</t>
    <rPh sb="0" eb="2">
      <t>チイキ</t>
    </rPh>
    <rPh sb="2" eb="4">
      <t>クブン</t>
    </rPh>
    <phoneticPr fontId="1"/>
  </si>
  <si>
    <t>熱伝導率λ</t>
    <rPh sb="0" eb="1">
      <t>ネツ</t>
    </rPh>
    <rPh sb="1" eb="3">
      <t>デンドウ</t>
    </rPh>
    <rPh sb="3" eb="4">
      <t>リツ</t>
    </rPh>
    <phoneticPr fontId="1"/>
  </si>
  <si>
    <t>透湿比抵抗ζ</t>
    <rPh sb="0" eb="1">
      <t>トオル</t>
    </rPh>
    <rPh sb="1" eb="2">
      <t>シツ</t>
    </rPh>
    <rPh sb="2" eb="3">
      <t>ヒ</t>
    </rPh>
    <rPh sb="3" eb="5">
      <t>テイコウ</t>
    </rPh>
    <phoneticPr fontId="1"/>
  </si>
  <si>
    <t>水性塗料（美濃紙0.12mm下地）</t>
    <rPh sb="0" eb="2">
      <t>スイセイ</t>
    </rPh>
    <rPh sb="2" eb="4">
      <t>トリョウ</t>
    </rPh>
    <phoneticPr fontId="1"/>
  </si>
  <si>
    <t>水性塗料</t>
    <rPh sb="0" eb="2">
      <t>スイセイ</t>
    </rPh>
    <rPh sb="2" eb="4">
      <t>トリョウ</t>
    </rPh>
    <phoneticPr fontId="1"/>
  </si>
  <si>
    <t>油性塗料</t>
    <rPh sb="0" eb="2">
      <t>ユセイ</t>
    </rPh>
    <rPh sb="2" eb="4">
      <t>トリョウ</t>
    </rPh>
    <phoneticPr fontId="1"/>
  </si>
  <si>
    <t>樹脂系塗料</t>
    <rPh sb="0" eb="2">
      <t>ジュシ</t>
    </rPh>
    <rPh sb="2" eb="3">
      <t>ケイ</t>
    </rPh>
    <rPh sb="3" eb="5">
      <t>トリョウ</t>
    </rPh>
    <phoneticPr fontId="1"/>
  </si>
  <si>
    <t>エナメル2回塗り</t>
    <rPh sb="5" eb="6">
      <t>カイ</t>
    </rPh>
    <rPh sb="6" eb="7">
      <t>ヌ</t>
    </rPh>
    <phoneticPr fontId="1"/>
  </si>
  <si>
    <t>ラッカー2回塗り</t>
    <rPh sb="5" eb="6">
      <t>カイ</t>
    </rPh>
    <rPh sb="6" eb="7">
      <t>ヌ</t>
    </rPh>
    <phoneticPr fontId="1"/>
  </si>
  <si>
    <t>アルミニウムペイント2回塗り</t>
    <rPh sb="11" eb="12">
      <t>カイ</t>
    </rPh>
    <rPh sb="12" eb="13">
      <t>ヌ</t>
    </rPh>
    <phoneticPr fontId="1"/>
  </si>
  <si>
    <t>部材名</t>
    <rPh sb="0" eb="2">
      <t>ブザイ</t>
    </rPh>
    <rPh sb="2" eb="3">
      <t>メイ</t>
    </rPh>
    <phoneticPr fontId="1"/>
  </si>
  <si>
    <t>構造用合板</t>
    <rPh sb="0" eb="2">
      <t>コウゾウ</t>
    </rPh>
    <rPh sb="2" eb="3">
      <t>ヨウ</t>
    </rPh>
    <rPh sb="3" eb="5">
      <t>ゴウハン</t>
    </rPh>
    <phoneticPr fontId="1"/>
  </si>
  <si>
    <t>屋根</t>
    <rPh sb="0" eb="2">
      <t>ヤネ</t>
    </rPh>
    <phoneticPr fontId="1"/>
  </si>
  <si>
    <t>6地域</t>
    <rPh sb="1" eb="3">
      <t>チイキ</t>
    </rPh>
    <phoneticPr fontId="1"/>
  </si>
  <si>
    <t>7地域</t>
    <rPh sb="1" eb="3">
      <t>チイキ</t>
    </rPh>
    <phoneticPr fontId="1"/>
  </si>
  <si>
    <t>8地域</t>
    <rPh sb="1" eb="3">
      <t>チイキ</t>
    </rPh>
    <phoneticPr fontId="1"/>
  </si>
  <si>
    <t>合板</t>
    <rPh sb="0" eb="2">
      <t>ゴウハン</t>
    </rPh>
    <phoneticPr fontId="1"/>
  </si>
  <si>
    <t>熱伝導率 λ</t>
    <rPh sb="0" eb="1">
      <t>ネツ</t>
    </rPh>
    <rPh sb="1" eb="4">
      <t>デンドウリツ</t>
    </rPh>
    <phoneticPr fontId="1"/>
  </si>
  <si>
    <t>厚さ d</t>
    <rPh sb="0" eb="1">
      <t>アツ</t>
    </rPh>
    <phoneticPr fontId="1"/>
  </si>
  <si>
    <t>熱抵抗 R=d/λ</t>
    <rPh sb="0" eb="1">
      <t>ネツ</t>
    </rPh>
    <rPh sb="1" eb="3">
      <t>テイコウ</t>
    </rPh>
    <phoneticPr fontId="1"/>
  </si>
  <si>
    <t>名称</t>
    <rPh sb="0" eb="2">
      <t>メイショウ</t>
    </rPh>
    <phoneticPr fontId="1"/>
  </si>
  <si>
    <t>冬季</t>
    <rPh sb="0" eb="2">
      <t>トウキ</t>
    </rPh>
    <phoneticPr fontId="1"/>
  </si>
  <si>
    <t>通気層工法(18mm以上)</t>
  </si>
  <si>
    <t>硬質ウレタンフォーム　2種4号</t>
    <rPh sb="0" eb="2">
      <t>コウシツ</t>
    </rPh>
    <rPh sb="12" eb="13">
      <t>シュ</t>
    </rPh>
    <rPh sb="14" eb="15">
      <t>ゴウ</t>
    </rPh>
    <phoneticPr fontId="1"/>
  </si>
  <si>
    <t>素材６</t>
    <rPh sb="0" eb="2">
      <t>ソザイ</t>
    </rPh>
    <phoneticPr fontId="1"/>
  </si>
  <si>
    <t>素材７</t>
    <rPh sb="0" eb="2">
      <t>ソザイ</t>
    </rPh>
    <phoneticPr fontId="1"/>
  </si>
  <si>
    <t>キューワンボード</t>
    <phoneticPr fontId="1"/>
  </si>
  <si>
    <t>温度差</t>
    <rPh sb="0" eb="3">
      <t>オンドサ</t>
    </rPh>
    <phoneticPr fontId="1"/>
  </si>
  <si>
    <t>陸別（北海道足寄郡陸別町）</t>
    <rPh sb="0" eb="2">
      <t>リクベツ</t>
    </rPh>
    <rPh sb="3" eb="6">
      <t>ホッカイドウ</t>
    </rPh>
    <rPh sb="6" eb="7">
      <t>アシ</t>
    </rPh>
    <rPh sb="7" eb="8">
      <t>ヨ</t>
    </rPh>
    <rPh sb="8" eb="9">
      <t>グン</t>
    </rPh>
    <rPh sb="9" eb="11">
      <t>リクベツ</t>
    </rPh>
    <rPh sb="11" eb="12">
      <t>チョウ</t>
    </rPh>
    <phoneticPr fontId="1"/>
  </si>
  <si>
    <t>陸別（北海道足寄郡陸別町）</t>
    <rPh sb="0" eb="2">
      <t>リクベツ</t>
    </rPh>
    <phoneticPr fontId="1"/>
  </si>
  <si>
    <t>伊仙（鹿児島県大島郡伊仙町）</t>
    <rPh sb="0" eb="2">
      <t>イセン</t>
    </rPh>
    <rPh sb="3" eb="7">
      <t>カゴシマケン</t>
    </rPh>
    <rPh sb="7" eb="10">
      <t>オオシマグン</t>
    </rPh>
    <rPh sb="10" eb="12">
      <t>イセン</t>
    </rPh>
    <rPh sb="12" eb="13">
      <t>チョウ</t>
    </rPh>
    <phoneticPr fontId="1"/>
  </si>
  <si>
    <t>奥（沖縄県国頭群国頭村）</t>
    <rPh sb="0" eb="1">
      <t>オク</t>
    </rPh>
    <rPh sb="2" eb="5">
      <t>オキナワケン</t>
    </rPh>
    <rPh sb="5" eb="6">
      <t>クニ</t>
    </rPh>
    <rPh sb="6" eb="7">
      <t>アタマ</t>
    </rPh>
    <rPh sb="7" eb="8">
      <t>グン</t>
    </rPh>
    <rPh sb="8" eb="9">
      <t>クニ</t>
    </rPh>
    <rPh sb="9" eb="10">
      <t>アタマ</t>
    </rPh>
    <rPh sb="10" eb="11">
      <t>ムラ</t>
    </rPh>
    <phoneticPr fontId="1"/>
  </si>
  <si>
    <t>好摩（岩手県岩手郡玉山村）</t>
    <rPh sb="0" eb="1">
      <t>ス</t>
    </rPh>
    <rPh sb="1" eb="2">
      <t>マ</t>
    </rPh>
    <phoneticPr fontId="1"/>
  </si>
  <si>
    <t>真岡（栃木県真岡市）</t>
    <rPh sb="0" eb="2">
      <t>モオカ</t>
    </rPh>
    <rPh sb="3" eb="6">
      <t>トチギケン</t>
    </rPh>
    <rPh sb="6" eb="9">
      <t>モオカシ</t>
    </rPh>
    <phoneticPr fontId="1"/>
  </si>
  <si>
    <t>恵那（岐阜県恵那市）</t>
    <rPh sb="0" eb="2">
      <t>エナ</t>
    </rPh>
    <rPh sb="3" eb="6">
      <t>ギフケン</t>
    </rPh>
    <rPh sb="6" eb="9">
      <t>エナシ</t>
    </rPh>
    <phoneticPr fontId="1"/>
  </si>
  <si>
    <t>神門（宮崎県東臼杵郡南郷村）</t>
    <rPh sb="0" eb="2">
      <t>ミカド</t>
    </rPh>
    <rPh sb="3" eb="6">
      <t>ミヤザキケン</t>
    </rPh>
    <rPh sb="6" eb="7">
      <t>ヒガシ</t>
    </rPh>
    <rPh sb="7" eb="8">
      <t>ウス</t>
    </rPh>
    <rPh sb="8" eb="9">
      <t>キネ</t>
    </rPh>
    <rPh sb="9" eb="10">
      <t>グン</t>
    </rPh>
    <rPh sb="10" eb="12">
      <t>ナンゴウ</t>
    </rPh>
    <rPh sb="12" eb="13">
      <t>ムラ</t>
    </rPh>
    <phoneticPr fontId="1"/>
  </si>
  <si>
    <t>2014年の性能表示で50％から60％に改定</t>
    <rPh sb="4" eb="5">
      <t>ネン</t>
    </rPh>
    <rPh sb="6" eb="8">
      <t>セイノウ</t>
    </rPh>
    <rPh sb="8" eb="10">
      <t>ヒョウジ</t>
    </rPh>
    <rPh sb="20" eb="22">
      <t>カイテイ</t>
    </rPh>
    <phoneticPr fontId="1"/>
  </si>
  <si>
    <t>安全側として各地域内で最低温度を設定</t>
    <rPh sb="0" eb="2">
      <t>アンゼン</t>
    </rPh>
    <rPh sb="2" eb="3">
      <t>ガワ</t>
    </rPh>
    <rPh sb="6" eb="9">
      <t>カクチイキ</t>
    </rPh>
    <rPh sb="9" eb="10">
      <t>ナイ</t>
    </rPh>
    <rPh sb="11" eb="13">
      <t>サイテイ</t>
    </rPh>
    <rPh sb="13" eb="15">
      <t>オンド</t>
    </rPh>
    <rPh sb="16" eb="18">
      <t>セッテイ</t>
    </rPh>
    <phoneticPr fontId="1"/>
  </si>
  <si>
    <t>せっこうボード(GB-R)</t>
    <phoneticPr fontId="1"/>
  </si>
  <si>
    <t>化粧せっこうボード(GB-D)</t>
    <rPh sb="0" eb="2">
      <t>ケショウ</t>
    </rPh>
    <phoneticPr fontId="1"/>
  </si>
  <si>
    <t>せっこうラスボード(GB-L)</t>
    <phoneticPr fontId="1"/>
  </si>
  <si>
    <t>化粧せっこうボード(GB-NC)</t>
    <rPh sb="0" eb="2">
      <t>ケショウ</t>
    </rPh>
    <phoneticPr fontId="1"/>
  </si>
  <si>
    <t>シージングせっこうボード(GB-S)</t>
    <phoneticPr fontId="1"/>
  </si>
  <si>
    <t>強化せっこうボード(GB-F)</t>
    <rPh sb="0" eb="2">
      <t>キョウカ</t>
    </rPh>
    <phoneticPr fontId="1"/>
  </si>
  <si>
    <t>硬質せっこうボード(GB-R-H,GB-S-H,GB-D-H)</t>
    <rPh sb="0" eb="2">
      <t>コウシツ</t>
    </rPh>
    <phoneticPr fontId="1"/>
  </si>
  <si>
    <t>けい酸カルシウム板(見かけ密度0.8)</t>
    <rPh sb="2" eb="3">
      <t>サン</t>
    </rPh>
    <rPh sb="8" eb="9">
      <t>イタ</t>
    </rPh>
    <rPh sb="10" eb="11">
      <t>ミ</t>
    </rPh>
    <rPh sb="13" eb="15">
      <t>ミツド</t>
    </rPh>
    <phoneticPr fontId="1"/>
  </si>
  <si>
    <t>けい酸カルシウム板(見かけ密度1.0)</t>
    <rPh sb="2" eb="3">
      <t>サン</t>
    </rPh>
    <rPh sb="8" eb="9">
      <t>イタ</t>
    </rPh>
    <phoneticPr fontId="1"/>
  </si>
  <si>
    <t>稲わら畳床</t>
    <rPh sb="0" eb="1">
      <t>イナ</t>
    </rPh>
    <rPh sb="3" eb="4">
      <t>タタミ</t>
    </rPh>
    <rPh sb="4" eb="5">
      <t>ユカ</t>
    </rPh>
    <phoneticPr fontId="1"/>
  </si>
  <si>
    <t>ポリスチレンフォームサンドイッチ稲わら畳床</t>
    <rPh sb="16" eb="17">
      <t>イナ</t>
    </rPh>
    <rPh sb="19" eb="20">
      <t>タタミ</t>
    </rPh>
    <rPh sb="20" eb="21">
      <t>トコ</t>
    </rPh>
    <phoneticPr fontId="1"/>
  </si>
  <si>
    <t>タタミボードサンドイッチ稲わら畳床</t>
    <rPh sb="12" eb="13">
      <t>イナ</t>
    </rPh>
    <rPh sb="15" eb="16">
      <t>タタミ</t>
    </rPh>
    <rPh sb="16" eb="17">
      <t>ユカ</t>
    </rPh>
    <phoneticPr fontId="1"/>
  </si>
  <si>
    <t>建材畳床(K,N形)</t>
    <rPh sb="0" eb="2">
      <t>ケンザイ</t>
    </rPh>
    <rPh sb="2" eb="3">
      <t>タタミ</t>
    </rPh>
    <rPh sb="3" eb="4">
      <t>ユカ</t>
    </rPh>
    <rPh sb="8" eb="9">
      <t>ケイ</t>
    </rPh>
    <phoneticPr fontId="1"/>
  </si>
  <si>
    <t>建材畳床(Ⅰ形)</t>
    <rPh sb="0" eb="2">
      <t>ケンザイ</t>
    </rPh>
    <rPh sb="2" eb="3">
      <t>タタミ</t>
    </rPh>
    <rPh sb="3" eb="4">
      <t>ユカ</t>
    </rPh>
    <rPh sb="6" eb="7">
      <t>ケイ</t>
    </rPh>
    <phoneticPr fontId="1"/>
  </si>
  <si>
    <t>建材畳床(Ⅱ形)</t>
    <rPh sb="0" eb="2">
      <t>ケンザイ</t>
    </rPh>
    <rPh sb="2" eb="3">
      <t>タタミ</t>
    </rPh>
    <rPh sb="3" eb="4">
      <t>ユカ</t>
    </rPh>
    <rPh sb="6" eb="7">
      <t>ケイ</t>
    </rPh>
    <phoneticPr fontId="1"/>
  </si>
  <si>
    <t>建材畳床(Ⅲ形)</t>
    <rPh sb="0" eb="2">
      <t>ケンザイ</t>
    </rPh>
    <rPh sb="2" eb="3">
      <t>タタミ</t>
    </rPh>
    <rPh sb="3" eb="4">
      <t>ユカ</t>
    </rPh>
    <rPh sb="6" eb="7">
      <t>ケイ</t>
    </rPh>
    <phoneticPr fontId="1"/>
  </si>
  <si>
    <t>A種ポリエチレンフォーム保温版　１種２号</t>
    <rPh sb="1" eb="2">
      <t>シュ</t>
    </rPh>
    <rPh sb="12" eb="14">
      <t>ホオン</t>
    </rPh>
    <rPh sb="14" eb="15">
      <t>バン</t>
    </rPh>
    <rPh sb="17" eb="18">
      <t>シュ</t>
    </rPh>
    <rPh sb="19" eb="20">
      <t>ゴウ</t>
    </rPh>
    <phoneticPr fontId="1"/>
  </si>
  <si>
    <t>A種ポリエチレンフォーム保温版　２種</t>
    <rPh sb="1" eb="2">
      <t>シュ</t>
    </rPh>
    <rPh sb="12" eb="14">
      <t>ホオン</t>
    </rPh>
    <rPh sb="14" eb="15">
      <t>バン</t>
    </rPh>
    <rPh sb="17" eb="18">
      <t>シュ</t>
    </rPh>
    <phoneticPr fontId="1"/>
  </si>
  <si>
    <t>ビーズ法ポリスチレンフォーム保温版　特号</t>
    <rPh sb="3" eb="4">
      <t>ホウ</t>
    </rPh>
    <rPh sb="14" eb="16">
      <t>ホオン</t>
    </rPh>
    <rPh sb="16" eb="17">
      <t>バン</t>
    </rPh>
    <rPh sb="18" eb="19">
      <t>トク</t>
    </rPh>
    <rPh sb="19" eb="20">
      <t>ゴウ</t>
    </rPh>
    <phoneticPr fontId="1"/>
  </si>
  <si>
    <t>ビーズ法ポリスチレンフォーム保温版　1号</t>
    <rPh sb="3" eb="4">
      <t>ホウ</t>
    </rPh>
    <rPh sb="19" eb="20">
      <t>ゴウ</t>
    </rPh>
    <phoneticPr fontId="1"/>
  </si>
  <si>
    <t>ビーズ法ポリスチレンフォーム保温版　2号</t>
    <rPh sb="3" eb="4">
      <t>ホウ</t>
    </rPh>
    <rPh sb="19" eb="20">
      <t>ゴウ</t>
    </rPh>
    <phoneticPr fontId="1"/>
  </si>
  <si>
    <t>ビーズ法ポリスチレンフォーム保温版　3号</t>
    <rPh sb="3" eb="4">
      <t>ホウ</t>
    </rPh>
    <rPh sb="19" eb="20">
      <t>ゴウ</t>
    </rPh>
    <phoneticPr fontId="1"/>
  </si>
  <si>
    <t>ビーズ法ポリスチレンフォーム保温版　4号</t>
    <rPh sb="3" eb="4">
      <t>ホウ</t>
    </rPh>
    <rPh sb="19" eb="20">
      <t>ゴウ</t>
    </rPh>
    <phoneticPr fontId="1"/>
  </si>
  <si>
    <t>硬質ウレタンフォーム保温版　2種1号</t>
    <rPh sb="0" eb="2">
      <t>コウシツ</t>
    </rPh>
    <rPh sb="15" eb="16">
      <t>シュ</t>
    </rPh>
    <rPh sb="17" eb="18">
      <t>ゴウ</t>
    </rPh>
    <phoneticPr fontId="1"/>
  </si>
  <si>
    <t>硬質ウレタンフォーム保温版　2種2号</t>
    <rPh sb="0" eb="2">
      <t>コウシツ</t>
    </rPh>
    <rPh sb="15" eb="16">
      <t>シュ</t>
    </rPh>
    <rPh sb="17" eb="18">
      <t>ゴウ</t>
    </rPh>
    <phoneticPr fontId="1"/>
  </si>
  <si>
    <t>吹付け硬質ウレタンフォーム　A種１</t>
    <rPh sb="15" eb="16">
      <t>シュ</t>
    </rPh>
    <phoneticPr fontId="1"/>
  </si>
  <si>
    <t>吹付け硬質ウレタンフォーム　A種３</t>
    <rPh sb="15" eb="16">
      <t>シュ</t>
    </rPh>
    <phoneticPr fontId="1"/>
  </si>
  <si>
    <t>天井</t>
    <rPh sb="0" eb="2">
      <t>テンジョウ</t>
    </rPh>
    <phoneticPr fontId="1"/>
  </si>
  <si>
    <t>天然木材（省エネ基準用）</t>
    <rPh sb="0" eb="2">
      <t>テンネン</t>
    </rPh>
    <rPh sb="2" eb="4">
      <t>モクザイ</t>
    </rPh>
    <rPh sb="5" eb="6">
      <t>ショウ</t>
    </rPh>
    <rPh sb="8" eb="10">
      <t>キジュン</t>
    </rPh>
    <rPh sb="10" eb="11">
      <t>ヨウ</t>
    </rPh>
    <phoneticPr fontId="1"/>
  </si>
  <si>
    <t>根拠</t>
    <rPh sb="0" eb="2">
      <t>コンキョ</t>
    </rPh>
    <phoneticPr fontId="1"/>
  </si>
  <si>
    <t>熱伝導率</t>
    <rPh sb="0" eb="1">
      <t>ネツ</t>
    </rPh>
    <rPh sb="1" eb="4">
      <t>デンドウリツ</t>
    </rPh>
    <phoneticPr fontId="1"/>
  </si>
  <si>
    <t>透湿比抵抗</t>
    <rPh sb="0" eb="2">
      <t>トウシツ</t>
    </rPh>
    <rPh sb="2" eb="3">
      <t>ヒ</t>
    </rPh>
    <rPh sb="3" eb="5">
      <t>テイコウ</t>
    </rPh>
    <phoneticPr fontId="1"/>
  </si>
  <si>
    <t>H25省エネ基準告示</t>
    <rPh sb="3" eb="4">
      <t>ショウ</t>
    </rPh>
    <rPh sb="6" eb="8">
      <t>キジュン</t>
    </rPh>
    <rPh sb="8" eb="10">
      <t>コクジ</t>
    </rPh>
    <phoneticPr fontId="1"/>
  </si>
  <si>
    <t>コンクリート</t>
    <phoneticPr fontId="1"/>
  </si>
  <si>
    <t>軽量コンクリート（軽量1種）</t>
    <rPh sb="0" eb="2">
      <t>ケイリョウ</t>
    </rPh>
    <rPh sb="9" eb="11">
      <t>ケイリョウ</t>
    </rPh>
    <rPh sb="12" eb="13">
      <t>シュ</t>
    </rPh>
    <phoneticPr fontId="1"/>
  </si>
  <si>
    <t>軽量コンクリート（軽量2種）</t>
    <rPh sb="0" eb="2">
      <t>ケイリョウ</t>
    </rPh>
    <rPh sb="9" eb="11">
      <t>ケイリョウ</t>
    </rPh>
    <rPh sb="12" eb="13">
      <t>シュ</t>
    </rPh>
    <phoneticPr fontId="1"/>
  </si>
  <si>
    <t>■コンクリート系材料</t>
    <rPh sb="7" eb="8">
      <t>ケイ</t>
    </rPh>
    <rPh sb="8" eb="10">
      <t>ザイリョウ</t>
    </rPh>
    <phoneticPr fontId="1"/>
  </si>
  <si>
    <t>■金属</t>
    <rPh sb="1" eb="3">
      <t>キンゾク</t>
    </rPh>
    <phoneticPr fontId="1"/>
  </si>
  <si>
    <t>■岩石、土壌、、石、タイル、サイディング</t>
    <rPh sb="1" eb="3">
      <t>ガンセキ</t>
    </rPh>
    <rPh sb="4" eb="6">
      <t>ドジョウ</t>
    </rPh>
    <rPh sb="8" eb="9">
      <t>イシ</t>
    </rPh>
    <phoneticPr fontId="1"/>
  </si>
  <si>
    <t>しっくい</t>
    <phoneticPr fontId="1"/>
  </si>
  <si>
    <t>かわら</t>
    <phoneticPr fontId="1"/>
  </si>
  <si>
    <t>火山性ガラス質複層板</t>
    <rPh sb="0" eb="3">
      <t>カザンセイ</t>
    </rPh>
    <rPh sb="6" eb="7">
      <t>シツ</t>
    </rPh>
    <rPh sb="7" eb="9">
      <t>フクソウ</t>
    </rPh>
    <rPh sb="9" eb="10">
      <t>バン</t>
    </rPh>
    <phoneticPr fontId="1"/>
  </si>
  <si>
    <t>■木質系材料、木材</t>
    <rPh sb="1" eb="3">
      <t>モクシツ</t>
    </rPh>
    <rPh sb="3" eb="4">
      <t>ケイ</t>
    </rPh>
    <rPh sb="4" eb="6">
      <t>ザイリョウ</t>
    </rPh>
    <rPh sb="7" eb="9">
      <t>モクザイ</t>
    </rPh>
    <phoneticPr fontId="1"/>
  </si>
  <si>
    <t>■床材、仕上材</t>
    <rPh sb="1" eb="3">
      <t>ユカザイ</t>
    </rPh>
    <rPh sb="4" eb="6">
      <t>シア</t>
    </rPh>
    <rPh sb="6" eb="7">
      <t>ザイ</t>
    </rPh>
    <phoneticPr fontId="1"/>
  </si>
  <si>
    <t>FRP</t>
    <phoneticPr fontId="1"/>
  </si>
  <si>
    <t>アスファルト類</t>
    <rPh sb="6" eb="7">
      <t>ルイ</t>
    </rPh>
    <phoneticPr fontId="1"/>
  </si>
  <si>
    <t>畳</t>
    <rPh sb="0" eb="1">
      <t>タタミ</t>
    </rPh>
    <phoneticPr fontId="1"/>
  </si>
  <si>
    <t>カーペット類</t>
    <rPh sb="5" eb="6">
      <t>ルイ</t>
    </rPh>
    <phoneticPr fontId="1"/>
  </si>
  <si>
    <t>ロックウール断熱材(マット）</t>
    <rPh sb="6" eb="9">
      <t>ダンネツザイ</t>
    </rPh>
    <phoneticPr fontId="1"/>
  </si>
  <si>
    <t>ロックウール断熱材（フェルト）</t>
    <rPh sb="6" eb="9">
      <t>ダンネツザイ</t>
    </rPh>
    <phoneticPr fontId="1"/>
  </si>
  <si>
    <t>ロックウール断熱材（ボード）</t>
    <rPh sb="6" eb="9">
      <t>ダンネツザイ</t>
    </rPh>
    <phoneticPr fontId="1"/>
  </si>
  <si>
    <t>吹込用セルロースファイバー　25K</t>
    <rPh sb="0" eb="2">
      <t>フキコ</t>
    </rPh>
    <rPh sb="2" eb="3">
      <t>ヨウ</t>
    </rPh>
    <phoneticPr fontId="1"/>
  </si>
  <si>
    <t>吹込用セルロースファイバー　45K</t>
    <rPh sb="0" eb="2">
      <t>フキコ</t>
    </rPh>
    <rPh sb="2" eb="3">
      <t>ヨウ</t>
    </rPh>
    <phoneticPr fontId="1"/>
  </si>
  <si>
    <t>吹込用セルロースファイバー　55K</t>
    <rPh sb="0" eb="2">
      <t>フキコ</t>
    </rPh>
    <rPh sb="2" eb="3">
      <t>ヨウ</t>
    </rPh>
    <phoneticPr fontId="1"/>
  </si>
  <si>
    <t>軽量気泡コンクリートパネル（ALCパネル)</t>
    <rPh sb="0" eb="2">
      <t>ケイリョウ</t>
    </rPh>
    <rPh sb="2" eb="4">
      <t>キホウ</t>
    </rPh>
    <phoneticPr fontId="1"/>
  </si>
  <si>
    <t>■ボード系断熱材</t>
    <rPh sb="4" eb="5">
      <t>ケイ</t>
    </rPh>
    <rPh sb="5" eb="7">
      <t>ダンネツ</t>
    </rPh>
    <rPh sb="7" eb="8">
      <t>ザイ</t>
    </rPh>
    <phoneticPr fontId="1"/>
  </si>
  <si>
    <t>アセダス通気ボード</t>
  </si>
  <si>
    <t>ダイライトMS9</t>
  </si>
  <si>
    <t>ユニットバス床　ハーフユニット</t>
  </si>
  <si>
    <t>容積比熱</t>
    <rPh sb="0" eb="2">
      <t>ヨウセキ</t>
    </rPh>
    <rPh sb="2" eb="4">
      <t>ヒネツ</t>
    </rPh>
    <phoneticPr fontId="1"/>
  </si>
  <si>
    <t>押出法ポリスチレンフォーム保温版　2種（スキンあり）</t>
    <rPh sb="0" eb="2">
      <t>オシダシ</t>
    </rPh>
    <rPh sb="2" eb="3">
      <t>ホウ</t>
    </rPh>
    <rPh sb="18" eb="19">
      <t>シュ</t>
    </rPh>
    <phoneticPr fontId="1"/>
  </si>
  <si>
    <t>押出法ポリスチレンフォーム保温版　3種（スキンあり）</t>
    <rPh sb="0" eb="2">
      <t>オシダシ</t>
    </rPh>
    <rPh sb="2" eb="3">
      <t>ホウ</t>
    </rPh>
    <rPh sb="18" eb="19">
      <t>シュ</t>
    </rPh>
    <phoneticPr fontId="1"/>
  </si>
  <si>
    <t>1980.2.29 通産省通達：建築材料の断熱性能に係る性能値の公表について</t>
    <rPh sb="10" eb="13">
      <t>ツウサンショウ</t>
    </rPh>
    <rPh sb="13" eb="15">
      <t>ツウタツ</t>
    </rPh>
    <rPh sb="16" eb="18">
      <t>ケンチク</t>
    </rPh>
    <rPh sb="18" eb="20">
      <t>ザイリョウ</t>
    </rPh>
    <rPh sb="21" eb="23">
      <t>ダンネツ</t>
    </rPh>
    <rPh sb="23" eb="25">
      <t>セイノウ</t>
    </rPh>
    <rPh sb="26" eb="27">
      <t>カカ</t>
    </rPh>
    <rPh sb="28" eb="30">
      <t>セイノウ</t>
    </rPh>
    <rPh sb="30" eb="31">
      <t>アタイ</t>
    </rPh>
    <rPh sb="32" eb="34">
      <t>コウヒョウ</t>
    </rPh>
    <phoneticPr fontId="1"/>
  </si>
  <si>
    <t>日本建築学会編：建築学便覧Ⅰ（1980）、丸善</t>
    <rPh sb="0" eb="2">
      <t>ニホン</t>
    </rPh>
    <rPh sb="2" eb="4">
      <t>ケンチク</t>
    </rPh>
    <rPh sb="4" eb="6">
      <t>ガッカイ</t>
    </rPh>
    <rPh sb="6" eb="7">
      <t>ヘン</t>
    </rPh>
    <rPh sb="8" eb="11">
      <t>ケンチクガク</t>
    </rPh>
    <rPh sb="11" eb="13">
      <t>ビンラン</t>
    </rPh>
    <rPh sb="21" eb="23">
      <t>マルゼン</t>
    </rPh>
    <phoneticPr fontId="1"/>
  </si>
  <si>
    <t>熱伝導率根拠</t>
    <rPh sb="0" eb="1">
      <t>ネツ</t>
    </rPh>
    <rPh sb="1" eb="4">
      <t>デンドウリツ</t>
    </rPh>
    <rPh sb="4" eb="6">
      <t>コンキョ</t>
    </rPh>
    <phoneticPr fontId="1"/>
  </si>
  <si>
    <t>日本建築学会編：建築設計資料集成2（1979）、丸善</t>
    <rPh sb="0" eb="2">
      <t>ニホン</t>
    </rPh>
    <rPh sb="2" eb="4">
      <t>ケンチク</t>
    </rPh>
    <rPh sb="4" eb="6">
      <t>ガッカイ</t>
    </rPh>
    <rPh sb="6" eb="7">
      <t>ヘン</t>
    </rPh>
    <rPh sb="8" eb="10">
      <t>ケンチク</t>
    </rPh>
    <rPh sb="10" eb="12">
      <t>セッケイ</t>
    </rPh>
    <rPh sb="12" eb="14">
      <t>シリョウ</t>
    </rPh>
    <rPh sb="14" eb="16">
      <t>シュウセイ</t>
    </rPh>
    <rPh sb="24" eb="26">
      <t>マルゼン</t>
    </rPh>
    <phoneticPr fontId="1"/>
  </si>
  <si>
    <t>渡辺荘児ほか４名：蓄熱材料における土壌の熱的特性に関する研究(3)、日本建築学会大会学術講演会梗概集（1982）</t>
    <rPh sb="0" eb="2">
      <t>ワタナベ</t>
    </rPh>
    <rPh sb="2" eb="3">
      <t>ソウ</t>
    </rPh>
    <rPh sb="3" eb="4">
      <t>ジ</t>
    </rPh>
    <rPh sb="7" eb="8">
      <t>メイ</t>
    </rPh>
    <rPh sb="9" eb="11">
      <t>チクネツ</t>
    </rPh>
    <rPh sb="11" eb="13">
      <t>ザイリョウ</t>
    </rPh>
    <rPh sb="17" eb="19">
      <t>ドジョウ</t>
    </rPh>
    <rPh sb="20" eb="22">
      <t>ネツテキ</t>
    </rPh>
    <rPh sb="22" eb="24">
      <t>トクセイ</t>
    </rPh>
    <rPh sb="25" eb="26">
      <t>カン</t>
    </rPh>
    <rPh sb="28" eb="30">
      <t>ケンキュウ</t>
    </rPh>
    <rPh sb="34" eb="36">
      <t>ニホン</t>
    </rPh>
    <rPh sb="36" eb="38">
      <t>ケンチク</t>
    </rPh>
    <rPh sb="38" eb="40">
      <t>ガッカイ</t>
    </rPh>
    <rPh sb="40" eb="42">
      <t>タイカイ</t>
    </rPh>
    <rPh sb="42" eb="44">
      <t>ガクジュツ</t>
    </rPh>
    <rPh sb="44" eb="46">
      <t>コウエン</t>
    </rPh>
    <rPh sb="46" eb="47">
      <t>カイ</t>
    </rPh>
    <rPh sb="47" eb="49">
      <t>コウガイ</t>
    </rPh>
    <rPh sb="49" eb="50">
      <t>シュウ</t>
    </rPh>
    <phoneticPr fontId="1"/>
  </si>
  <si>
    <t>JIS A5416:2007：軽量気泡コンクリートパネル（ALCパネル）</t>
    <rPh sb="15" eb="17">
      <t>ケイリョウ</t>
    </rPh>
    <rPh sb="17" eb="19">
      <t>キホウ</t>
    </rPh>
    <phoneticPr fontId="1"/>
  </si>
  <si>
    <t>小原俊平：建築の熱設計（1974）、鹿島出版会</t>
    <rPh sb="0" eb="2">
      <t>コハラ</t>
    </rPh>
    <rPh sb="2" eb="4">
      <t>シュンペイ</t>
    </rPh>
    <rPh sb="5" eb="7">
      <t>ケンチク</t>
    </rPh>
    <rPh sb="8" eb="9">
      <t>ネツ</t>
    </rPh>
    <rPh sb="9" eb="11">
      <t>セッケイ</t>
    </rPh>
    <rPh sb="18" eb="20">
      <t>カシマ</t>
    </rPh>
    <rPh sb="20" eb="23">
      <t>シュッパンカイ</t>
    </rPh>
    <phoneticPr fontId="1"/>
  </si>
  <si>
    <t>押出成形セメント協会</t>
    <rPh sb="0" eb="2">
      <t>オシダシ</t>
    </rPh>
    <rPh sb="2" eb="4">
      <t>セイケイ</t>
    </rPh>
    <rPh sb="8" eb="10">
      <t>キョウカイ</t>
    </rPh>
    <phoneticPr fontId="1"/>
  </si>
  <si>
    <t>JIS A6901:2014：せっこうボード製品</t>
    <rPh sb="22" eb="24">
      <t>セイヒン</t>
    </rPh>
    <phoneticPr fontId="1"/>
  </si>
  <si>
    <t>JIS A5430:2013：繊維強化セメント板</t>
    <rPh sb="15" eb="17">
      <t>センイ</t>
    </rPh>
    <rPh sb="17" eb="19">
      <t>キョウカ</t>
    </rPh>
    <rPh sb="23" eb="24">
      <t>イタ</t>
    </rPh>
    <phoneticPr fontId="1"/>
  </si>
  <si>
    <t>JIS R3107:2008：板ガラス類の熱抵抗及び建築における熱貫流率の算定方法</t>
    <rPh sb="15" eb="16">
      <t>イタ</t>
    </rPh>
    <rPh sb="19" eb="20">
      <t>ルイ</t>
    </rPh>
    <rPh sb="21" eb="22">
      <t>ネツ</t>
    </rPh>
    <rPh sb="22" eb="24">
      <t>テイコウ</t>
    </rPh>
    <rPh sb="24" eb="25">
      <t>オヨ</t>
    </rPh>
    <rPh sb="26" eb="28">
      <t>ケンチク</t>
    </rPh>
    <rPh sb="32" eb="33">
      <t>ネツ</t>
    </rPh>
    <rPh sb="33" eb="35">
      <t>カンリュウ</t>
    </rPh>
    <rPh sb="35" eb="36">
      <t>リツ</t>
    </rPh>
    <rPh sb="37" eb="39">
      <t>サンテイ</t>
    </rPh>
    <rPh sb="39" eb="41">
      <t>ホウホウ</t>
    </rPh>
    <phoneticPr fontId="1"/>
  </si>
  <si>
    <t>渡辺要：建築計画言論Ⅱ（1979）、丸善</t>
    <rPh sb="0" eb="2">
      <t>ワタナベ</t>
    </rPh>
    <rPh sb="2" eb="3">
      <t>カナメ</t>
    </rPh>
    <rPh sb="4" eb="6">
      <t>ケンチク</t>
    </rPh>
    <rPh sb="6" eb="8">
      <t>ケイカク</t>
    </rPh>
    <rPh sb="8" eb="10">
      <t>ゲンロン</t>
    </rPh>
    <rPh sb="18" eb="20">
      <t>マルゼン</t>
    </rPh>
    <phoneticPr fontId="1"/>
  </si>
  <si>
    <t>火山性ガラス質材料工業会</t>
    <rPh sb="0" eb="3">
      <t>カザンセイ</t>
    </rPh>
    <rPh sb="6" eb="7">
      <t>シツ</t>
    </rPh>
    <rPh sb="7" eb="9">
      <t>ザイリョウ</t>
    </rPh>
    <rPh sb="9" eb="12">
      <t>コウギョウカイ</t>
    </rPh>
    <phoneticPr fontId="1"/>
  </si>
  <si>
    <t>次世代省エネルギー基準解説書作成委員会編：住宅の省エネルギー基準の解説 第３版（2009）、(財)建築環境・省エネルギー機構</t>
    <rPh sb="0" eb="3">
      <t>ジセダイ</t>
    </rPh>
    <rPh sb="3" eb="4">
      <t>ショウ</t>
    </rPh>
    <rPh sb="9" eb="11">
      <t>キジュン</t>
    </rPh>
    <rPh sb="11" eb="14">
      <t>カイセツショ</t>
    </rPh>
    <rPh sb="14" eb="16">
      <t>サクセイ</t>
    </rPh>
    <rPh sb="16" eb="19">
      <t>イインカイ</t>
    </rPh>
    <rPh sb="19" eb="20">
      <t>ヘン</t>
    </rPh>
    <rPh sb="21" eb="23">
      <t>ジュウタク</t>
    </rPh>
    <rPh sb="24" eb="25">
      <t>ショウ</t>
    </rPh>
    <rPh sb="30" eb="32">
      <t>キジュン</t>
    </rPh>
    <rPh sb="33" eb="35">
      <t>カイセツ</t>
    </rPh>
    <rPh sb="36" eb="37">
      <t>ダイ</t>
    </rPh>
    <rPh sb="38" eb="39">
      <t>ハン</t>
    </rPh>
    <rPh sb="47" eb="48">
      <t>ザイ</t>
    </rPh>
    <rPh sb="49" eb="51">
      <t>ケンチク</t>
    </rPh>
    <rPh sb="51" eb="53">
      <t>カンキョウ</t>
    </rPh>
    <rPh sb="54" eb="55">
      <t>ショウ</t>
    </rPh>
    <rPh sb="60" eb="62">
      <t>キコウ</t>
    </rPh>
    <phoneticPr fontId="1"/>
  </si>
  <si>
    <t>JIS A5905:2003：繊維板 で規定された熱抵抗値を製品呼び厚さで除した数値</t>
    <rPh sb="15" eb="17">
      <t>センイ</t>
    </rPh>
    <rPh sb="17" eb="18">
      <t>イタ</t>
    </rPh>
    <rPh sb="20" eb="22">
      <t>キテイ</t>
    </rPh>
    <rPh sb="25" eb="26">
      <t>ネツ</t>
    </rPh>
    <rPh sb="26" eb="28">
      <t>テイコウ</t>
    </rPh>
    <rPh sb="28" eb="29">
      <t>アタイ</t>
    </rPh>
    <rPh sb="30" eb="32">
      <t>セイヒン</t>
    </rPh>
    <rPh sb="32" eb="33">
      <t>ヨ</t>
    </rPh>
    <rPh sb="34" eb="35">
      <t>アツ</t>
    </rPh>
    <rPh sb="37" eb="38">
      <t>ジョ</t>
    </rPh>
    <rPh sb="40" eb="42">
      <t>スウチ</t>
    </rPh>
    <phoneticPr fontId="1"/>
  </si>
  <si>
    <t>温熱環境シミュレーションプログラム AE-Sim/Heat マニュアル</t>
    <rPh sb="0" eb="2">
      <t>オンネツ</t>
    </rPh>
    <rPh sb="2" eb="4">
      <t>カンキョウ</t>
    </rPh>
    <phoneticPr fontId="1"/>
  </si>
  <si>
    <t>JIS A5905:2014：繊維板 で規定された熱抵抗値を製品呼び厚さで除した数値</t>
    <rPh sb="15" eb="17">
      <t>センイ</t>
    </rPh>
    <rPh sb="17" eb="18">
      <t>イタ</t>
    </rPh>
    <rPh sb="20" eb="22">
      <t>キテイ</t>
    </rPh>
    <rPh sb="25" eb="26">
      <t>ネツ</t>
    </rPh>
    <rPh sb="26" eb="28">
      <t>テイコウ</t>
    </rPh>
    <rPh sb="28" eb="29">
      <t>アタイ</t>
    </rPh>
    <rPh sb="30" eb="32">
      <t>セイヒン</t>
    </rPh>
    <rPh sb="32" eb="33">
      <t>ヨ</t>
    </rPh>
    <rPh sb="34" eb="35">
      <t>アツ</t>
    </rPh>
    <rPh sb="37" eb="38">
      <t>ジョ</t>
    </rPh>
    <rPh sb="40" eb="42">
      <t>スウチ</t>
    </rPh>
    <phoneticPr fontId="1"/>
  </si>
  <si>
    <t>JIS A5908:2003：パーティクルボード</t>
    <phoneticPr fontId="1"/>
  </si>
  <si>
    <t>JIS A9521:2011：住宅用人造鉱物繊維断熱材 で規定された熱抵抗値を製品呼び厚さで除した数値</t>
    <rPh sb="15" eb="18">
      <t>ジュウタクヨウ</t>
    </rPh>
    <rPh sb="18" eb="20">
      <t>ジンゾウ</t>
    </rPh>
    <rPh sb="20" eb="22">
      <t>コウブツ</t>
    </rPh>
    <rPh sb="22" eb="24">
      <t>センイ</t>
    </rPh>
    <rPh sb="24" eb="27">
      <t>ダンネツザイ</t>
    </rPh>
    <rPh sb="29" eb="31">
      <t>キテイ</t>
    </rPh>
    <phoneticPr fontId="1"/>
  </si>
  <si>
    <t>日本建築学会 断熱工事標準仕様書　JASS24</t>
    <rPh sb="0" eb="2">
      <t>ニホン</t>
    </rPh>
    <rPh sb="2" eb="4">
      <t>ケンチク</t>
    </rPh>
    <rPh sb="4" eb="6">
      <t>ガッカイ</t>
    </rPh>
    <rPh sb="7" eb="9">
      <t>ダンネツ</t>
    </rPh>
    <rPh sb="9" eb="11">
      <t>コウジ</t>
    </rPh>
    <rPh sb="11" eb="13">
      <t>ヒョウジュン</t>
    </rPh>
    <rPh sb="13" eb="16">
      <t>シヨウショ</t>
    </rPh>
    <phoneticPr fontId="1"/>
  </si>
  <si>
    <t>(財)国土開発技術研究センター編：建築物の総合防火設計法 第4巻 耐火設計法</t>
    <rPh sb="1" eb="2">
      <t>ザイ</t>
    </rPh>
    <rPh sb="3" eb="5">
      <t>コクド</t>
    </rPh>
    <rPh sb="5" eb="7">
      <t>カイハツ</t>
    </rPh>
    <rPh sb="7" eb="9">
      <t>ギジュツ</t>
    </rPh>
    <rPh sb="9" eb="11">
      <t>ケンキュウ</t>
    </rPh>
    <rPh sb="15" eb="16">
      <t>ヘン</t>
    </rPh>
    <rPh sb="17" eb="19">
      <t>ケンチク</t>
    </rPh>
    <rPh sb="19" eb="20">
      <t>ブツ</t>
    </rPh>
    <rPh sb="21" eb="23">
      <t>ソウゴウ</t>
    </rPh>
    <rPh sb="23" eb="25">
      <t>ボウカ</t>
    </rPh>
    <rPh sb="25" eb="28">
      <t>セッケイホウ</t>
    </rPh>
    <rPh sb="29" eb="30">
      <t>ダイ</t>
    </rPh>
    <rPh sb="31" eb="32">
      <t>カン</t>
    </rPh>
    <rPh sb="33" eb="35">
      <t>タイカ</t>
    </rPh>
    <rPh sb="35" eb="38">
      <t>セッケイホウ</t>
    </rPh>
    <phoneticPr fontId="1"/>
  </si>
  <si>
    <t>JIS A9526:2006：建築物断熱用吹付け硬質ウレタンフォーム</t>
    <rPh sb="15" eb="17">
      <t>ケンチク</t>
    </rPh>
    <rPh sb="17" eb="18">
      <t>ブツ</t>
    </rPh>
    <rPh sb="18" eb="21">
      <t>ダンネツヨウ</t>
    </rPh>
    <rPh sb="21" eb="22">
      <t>フ</t>
    </rPh>
    <rPh sb="22" eb="23">
      <t>ツ</t>
    </rPh>
    <rPh sb="24" eb="26">
      <t>コウシツ</t>
    </rPh>
    <phoneticPr fontId="1"/>
  </si>
  <si>
    <t>JIS A9511:2006R：発泡プラスチック保温材</t>
    <rPh sb="16" eb="18">
      <t>ハッポウ</t>
    </rPh>
    <rPh sb="24" eb="27">
      <t>ホオンザイ</t>
    </rPh>
    <phoneticPr fontId="1"/>
  </si>
  <si>
    <t>透湿抵抗根拠</t>
    <rPh sb="0" eb="2">
      <t>トウシツ</t>
    </rPh>
    <rPh sb="2" eb="4">
      <t>テイコウ</t>
    </rPh>
    <rPh sb="4" eb="6">
      <t>コンキョ</t>
    </rPh>
    <phoneticPr fontId="1"/>
  </si>
  <si>
    <t>Kumaran,M.K:A Thermal and Moisture Property Database for Common Building and Insulation Materials, ASHRAE Transactions, Vol.112, pp.1-13,2006年6月</t>
    <rPh sb="141" eb="142">
      <t>ネン</t>
    </rPh>
    <rPh sb="143" eb="144">
      <t>ガツ</t>
    </rPh>
    <phoneticPr fontId="1"/>
  </si>
  <si>
    <t>水沼信、澤地孝男、鈴木大隆、瀬戸裕直、齋藤宏昭、中村安弘、中園眞人：温暖地における土壁住宅の外気側充填断熱工法の提案と断熱防露性能の検証、日本建築学会環境系論文集 第624号、pp.175-182</t>
    <rPh sb="0" eb="2">
      <t>ミズヌマ</t>
    </rPh>
    <rPh sb="2" eb="3">
      <t>シン</t>
    </rPh>
    <rPh sb="4" eb="6">
      <t>サワチ</t>
    </rPh>
    <rPh sb="6" eb="7">
      <t>タカシ</t>
    </rPh>
    <rPh sb="7" eb="8">
      <t>オ</t>
    </rPh>
    <rPh sb="9" eb="11">
      <t>スズキ</t>
    </rPh>
    <rPh sb="11" eb="12">
      <t>オオ</t>
    </rPh>
    <rPh sb="12" eb="13">
      <t>タカ</t>
    </rPh>
    <rPh sb="14" eb="16">
      <t>セト</t>
    </rPh>
    <rPh sb="16" eb="17">
      <t>ユウ</t>
    </rPh>
    <rPh sb="17" eb="18">
      <t>チョク</t>
    </rPh>
    <rPh sb="19" eb="21">
      <t>サイトウ</t>
    </rPh>
    <rPh sb="21" eb="23">
      <t>ヒロアキ</t>
    </rPh>
    <rPh sb="24" eb="26">
      <t>ナカムラ</t>
    </rPh>
    <rPh sb="26" eb="27">
      <t>アン</t>
    </rPh>
    <rPh sb="27" eb="28">
      <t>ヒロシ</t>
    </rPh>
    <rPh sb="29" eb="31">
      <t>ナカゾノ</t>
    </rPh>
    <rPh sb="31" eb="32">
      <t>シン</t>
    </rPh>
    <rPh sb="32" eb="33">
      <t>ニン</t>
    </rPh>
    <rPh sb="34" eb="36">
      <t>オンダン</t>
    </rPh>
    <rPh sb="36" eb="37">
      <t>チ</t>
    </rPh>
    <rPh sb="41" eb="42">
      <t>ツチ</t>
    </rPh>
    <rPh sb="42" eb="43">
      <t>カベ</t>
    </rPh>
    <rPh sb="43" eb="45">
      <t>ジュウタク</t>
    </rPh>
    <rPh sb="46" eb="48">
      <t>ガイキ</t>
    </rPh>
    <rPh sb="48" eb="49">
      <t>ガワ</t>
    </rPh>
    <rPh sb="49" eb="51">
      <t>ジュウテン</t>
    </rPh>
    <rPh sb="51" eb="53">
      <t>ダンネツ</t>
    </rPh>
    <rPh sb="53" eb="55">
      <t>コウホウ</t>
    </rPh>
    <rPh sb="56" eb="58">
      <t>テイアン</t>
    </rPh>
    <rPh sb="59" eb="61">
      <t>ダンネツ</t>
    </rPh>
    <rPh sb="61" eb="63">
      <t>ボウロ</t>
    </rPh>
    <rPh sb="63" eb="65">
      <t>セイノウ</t>
    </rPh>
    <rPh sb="66" eb="68">
      <t>ケンショウ</t>
    </rPh>
    <rPh sb="69" eb="71">
      <t>ニホン</t>
    </rPh>
    <rPh sb="71" eb="73">
      <t>ケンチク</t>
    </rPh>
    <rPh sb="73" eb="75">
      <t>ガッカイ</t>
    </rPh>
    <rPh sb="75" eb="77">
      <t>カンキョウ</t>
    </rPh>
    <rPh sb="77" eb="78">
      <t>ケイ</t>
    </rPh>
    <rPh sb="78" eb="80">
      <t>ロンブン</t>
    </rPh>
    <rPh sb="80" eb="81">
      <t>シュウ</t>
    </rPh>
    <rPh sb="82" eb="83">
      <t>ダイ</t>
    </rPh>
    <rPh sb="86" eb="87">
      <t>ゴウ</t>
    </rPh>
    <phoneticPr fontId="1"/>
  </si>
  <si>
    <t>山田雅士：「建築の結露」、井上書院、1979より引用</t>
    <rPh sb="0" eb="2">
      <t>ヤマダ</t>
    </rPh>
    <rPh sb="2" eb="3">
      <t>マサシ</t>
    </rPh>
    <rPh sb="3" eb="4">
      <t>シ</t>
    </rPh>
    <rPh sb="6" eb="8">
      <t>ケンチク</t>
    </rPh>
    <rPh sb="9" eb="11">
      <t>ケツロ</t>
    </rPh>
    <rPh sb="13" eb="15">
      <t>イノウエ</t>
    </rPh>
    <rPh sb="15" eb="17">
      <t>ショイン</t>
    </rPh>
    <rPh sb="24" eb="26">
      <t>インヨウ</t>
    </rPh>
    <phoneticPr fontId="1"/>
  </si>
  <si>
    <t>日本建築学会湿気物性学術基準</t>
    <rPh sb="0" eb="2">
      <t>ニホン</t>
    </rPh>
    <rPh sb="2" eb="4">
      <t>ケンチク</t>
    </rPh>
    <rPh sb="4" eb="6">
      <t>ガッカイ</t>
    </rPh>
    <rPh sb="6" eb="8">
      <t>シッケ</t>
    </rPh>
    <rPh sb="8" eb="10">
      <t>ブッセイ</t>
    </rPh>
    <rPh sb="10" eb="12">
      <t>ガクジュツ</t>
    </rPh>
    <rPh sb="12" eb="14">
      <t>キジュン</t>
    </rPh>
    <phoneticPr fontId="1"/>
  </si>
  <si>
    <t>齋藤宏昭：温暖地の木造断熱外壁のための簡易防露設計法に関する研究、東京大学学位請求論文、2006年12月</t>
    <rPh sb="0" eb="2">
      <t>サイトウ</t>
    </rPh>
    <rPh sb="2" eb="4">
      <t>ヒロアキ</t>
    </rPh>
    <rPh sb="5" eb="7">
      <t>オンダン</t>
    </rPh>
    <rPh sb="7" eb="8">
      <t>チ</t>
    </rPh>
    <rPh sb="9" eb="11">
      <t>モクゾウ</t>
    </rPh>
    <rPh sb="11" eb="13">
      <t>ダンネツ</t>
    </rPh>
    <rPh sb="13" eb="15">
      <t>ガイヘキ</t>
    </rPh>
    <rPh sb="19" eb="21">
      <t>カンイ</t>
    </rPh>
    <rPh sb="21" eb="23">
      <t>ボウロ</t>
    </rPh>
    <rPh sb="23" eb="25">
      <t>セッケイ</t>
    </rPh>
    <rPh sb="25" eb="26">
      <t>ホウ</t>
    </rPh>
    <rPh sb="27" eb="28">
      <t>カン</t>
    </rPh>
    <rPh sb="30" eb="32">
      <t>ケンキュウ</t>
    </rPh>
    <rPh sb="33" eb="35">
      <t>トウキョウ</t>
    </rPh>
    <rPh sb="35" eb="37">
      <t>ダイガク</t>
    </rPh>
    <rPh sb="37" eb="39">
      <t>ガクイ</t>
    </rPh>
    <rPh sb="39" eb="41">
      <t>セイキュウ</t>
    </rPh>
    <rPh sb="41" eb="43">
      <t>ロンブン</t>
    </rPh>
    <rPh sb="48" eb="49">
      <t>ネン</t>
    </rPh>
    <rPh sb="51" eb="52">
      <t>ガツ</t>
    </rPh>
    <phoneticPr fontId="1"/>
  </si>
  <si>
    <t>JIS A6930：1997</t>
    <phoneticPr fontId="1"/>
  </si>
  <si>
    <t>JIS A6111：2004</t>
    <phoneticPr fontId="1"/>
  </si>
  <si>
    <t>JIA A5404</t>
    <phoneticPr fontId="1"/>
  </si>
  <si>
    <t>アセダス耐震ボード</t>
    <phoneticPr fontId="1"/>
  </si>
  <si>
    <t>アムマット（ロックウール付属）</t>
    <rPh sb="12" eb="14">
      <t>フゾク</t>
    </rPh>
    <phoneticPr fontId="1"/>
  </si>
  <si>
    <t>H28省エネ基準告示</t>
    <rPh sb="3" eb="4">
      <t>ショウ</t>
    </rPh>
    <rPh sb="6" eb="8">
      <t>キジュン</t>
    </rPh>
    <rPh sb="8" eb="10">
      <t>コクジ</t>
    </rPh>
    <phoneticPr fontId="1"/>
  </si>
  <si>
    <t>JIS A5901:2014</t>
  </si>
  <si>
    <t>JIS A5901:2014</t>
    <phoneticPr fontId="1"/>
  </si>
  <si>
    <t>JIS A5914:2013</t>
  </si>
  <si>
    <t>JIS A5914:2013</t>
    <phoneticPr fontId="1"/>
  </si>
  <si>
    <t>計算値</t>
    <rPh sb="0" eb="3">
      <t>ケイサンチ</t>
    </rPh>
    <phoneticPr fontId="1"/>
  </si>
  <si>
    <t>H11省エネ基準解説</t>
    <rPh sb="3" eb="4">
      <t>ショウ</t>
    </rPh>
    <rPh sb="6" eb="8">
      <t>キジュン</t>
    </rPh>
    <rPh sb="8" eb="10">
      <t>カイセツ</t>
    </rPh>
    <phoneticPr fontId="1"/>
  </si>
  <si>
    <t>窯業系サイディング(塗装有)</t>
    <rPh sb="0" eb="2">
      <t>ヨウギョウ</t>
    </rPh>
    <rPh sb="2" eb="3">
      <t>ケイ</t>
    </rPh>
    <rPh sb="10" eb="12">
      <t>トソウ</t>
    </rPh>
    <rPh sb="12" eb="13">
      <t>アリ</t>
    </rPh>
    <phoneticPr fontId="1"/>
  </si>
  <si>
    <t>窯業系サイディング(塗装無)</t>
    <rPh sb="0" eb="2">
      <t>ヨウギョウ</t>
    </rPh>
    <rPh sb="2" eb="3">
      <t>ケイ</t>
    </rPh>
    <rPh sb="10" eb="12">
      <t>トソウ</t>
    </rPh>
    <rPh sb="12" eb="13">
      <t>ナシ</t>
    </rPh>
    <phoneticPr fontId="1"/>
  </si>
  <si>
    <t>発泡性壁紙</t>
    <rPh sb="0" eb="3">
      <t>ハッポウセイ</t>
    </rPh>
    <rPh sb="3" eb="4">
      <t>カベ</t>
    </rPh>
    <rPh sb="4" eb="5">
      <t>カミ</t>
    </rPh>
    <phoneticPr fontId="1"/>
  </si>
  <si>
    <t>防湿クラフト紙（グラスウール用）</t>
    <rPh sb="0" eb="2">
      <t>ボウシツ</t>
    </rPh>
    <rPh sb="6" eb="7">
      <t>カミ</t>
    </rPh>
    <rPh sb="14" eb="15">
      <t>ヨウ</t>
    </rPh>
    <phoneticPr fontId="1"/>
  </si>
  <si>
    <t>IBEC系</t>
    <rPh sb="4" eb="5">
      <t>ケイ</t>
    </rPh>
    <phoneticPr fontId="1"/>
  </si>
  <si>
    <t>省エネ基準</t>
    <rPh sb="0" eb="1">
      <t>ショウ</t>
    </rPh>
    <rPh sb="3" eb="5">
      <t>キジュン</t>
    </rPh>
    <phoneticPr fontId="1"/>
  </si>
  <si>
    <t>省エネ基準解説書</t>
    <rPh sb="0" eb="1">
      <t>ショウ</t>
    </rPh>
    <rPh sb="3" eb="5">
      <t>キジュン</t>
    </rPh>
    <rPh sb="5" eb="8">
      <t>カイセツショ</t>
    </rPh>
    <phoneticPr fontId="1"/>
  </si>
  <si>
    <t>設計資料集成</t>
    <rPh sb="0" eb="2">
      <t>セッケイ</t>
    </rPh>
    <rPh sb="2" eb="4">
      <t>シリョウ</t>
    </rPh>
    <rPh sb="4" eb="6">
      <t>シュウセイ</t>
    </rPh>
    <phoneticPr fontId="1"/>
  </si>
  <si>
    <t>書籍</t>
    <rPh sb="0" eb="2">
      <t>ショセキ</t>
    </rPh>
    <phoneticPr fontId="1"/>
  </si>
  <si>
    <t>シミュレーションソフト</t>
    <phoneticPr fontId="1"/>
  </si>
  <si>
    <t>推測値</t>
    <rPh sb="0" eb="2">
      <t>スイソク</t>
    </rPh>
    <rPh sb="2" eb="3">
      <t>アタイ</t>
    </rPh>
    <phoneticPr fontId="1"/>
  </si>
  <si>
    <t>smash マニュアル</t>
    <phoneticPr fontId="1"/>
  </si>
  <si>
    <t>メーカー公表値</t>
    <rPh sb="4" eb="6">
      <t>コウヒョウ</t>
    </rPh>
    <rPh sb="6" eb="7">
      <t>チ</t>
    </rPh>
    <phoneticPr fontId="1"/>
  </si>
  <si>
    <t>計算値、推測値</t>
    <rPh sb="0" eb="2">
      <t>ケイサン</t>
    </rPh>
    <rPh sb="2" eb="3">
      <t>アタイ</t>
    </rPh>
    <rPh sb="4" eb="6">
      <t>スイソク</t>
    </rPh>
    <rPh sb="6" eb="7">
      <t>チ</t>
    </rPh>
    <phoneticPr fontId="1"/>
  </si>
  <si>
    <t>パンフレット等</t>
    <rPh sb="6" eb="7">
      <t>トウ</t>
    </rPh>
    <phoneticPr fontId="1"/>
  </si>
  <si>
    <t>JIA A 9521</t>
    <phoneticPr fontId="1"/>
  </si>
  <si>
    <t>パーフェクトバリア ロール10K</t>
    <phoneticPr fontId="1"/>
  </si>
  <si>
    <t>パーフェクトバリア ロール13K</t>
    <phoneticPr fontId="1"/>
  </si>
  <si>
    <t>パーフェクトバリア ボード20K</t>
    <phoneticPr fontId="1"/>
  </si>
  <si>
    <t>パーフェクトバリア ボード30K</t>
    <phoneticPr fontId="1"/>
  </si>
  <si>
    <t>JIS A 1412　試験による</t>
    <rPh sb="11" eb="13">
      <t>シケン</t>
    </rPh>
    <phoneticPr fontId="1"/>
  </si>
  <si>
    <t>JIS A 1324 試験</t>
    <rPh sb="11" eb="13">
      <t>シケン</t>
    </rPh>
    <phoneticPr fontId="1"/>
  </si>
  <si>
    <t>JIS A 1412 試験</t>
    <rPh sb="11" eb="13">
      <t>シケン</t>
    </rPh>
    <phoneticPr fontId="1"/>
  </si>
  <si>
    <t>JIS K 712 試験</t>
    <rPh sb="10" eb="12">
      <t>シケン</t>
    </rPh>
    <phoneticPr fontId="1"/>
  </si>
  <si>
    <t>モルタル塗木造外壁</t>
    <rPh sb="4" eb="5">
      <t>ヌ</t>
    </rPh>
    <rPh sb="5" eb="7">
      <t>モクゾウ</t>
    </rPh>
    <rPh sb="7" eb="9">
      <t>ガイヘキ</t>
    </rPh>
    <phoneticPr fontId="1"/>
  </si>
  <si>
    <t>床　床下面</t>
    <rPh sb="0" eb="1">
      <t>ユカ</t>
    </rPh>
    <rPh sb="2" eb="4">
      <t>ユカシタ</t>
    </rPh>
    <rPh sb="4" eb="5">
      <t>メン</t>
    </rPh>
    <phoneticPr fontId="1"/>
  </si>
  <si>
    <t>天井　小屋裏面</t>
    <rPh sb="0" eb="2">
      <t>テンジョウ</t>
    </rPh>
    <rPh sb="3" eb="5">
      <t>コヤ</t>
    </rPh>
    <rPh sb="5" eb="7">
      <t>ウラメン</t>
    </rPh>
    <rPh sb="6" eb="7">
      <t>メン</t>
    </rPh>
    <phoneticPr fontId="1"/>
  </si>
  <si>
    <t>屋根　通気層面</t>
    <rPh sb="0" eb="2">
      <t>ヤネ</t>
    </rPh>
    <rPh sb="3" eb="5">
      <t>ツウキ</t>
    </rPh>
    <rPh sb="5" eb="6">
      <t>ソウ</t>
    </rPh>
    <rPh sb="6" eb="7">
      <t>メン</t>
    </rPh>
    <phoneticPr fontId="1"/>
  </si>
  <si>
    <t>10mm未満</t>
    <rPh sb="4" eb="6">
      <t>ミマン</t>
    </rPh>
    <phoneticPr fontId="1"/>
  </si>
  <si>
    <t>smashマニュアル</t>
    <phoneticPr fontId="1"/>
  </si>
  <si>
    <t>追加素材7</t>
    <rPh sb="0" eb="2">
      <t>ツイカ</t>
    </rPh>
    <rPh sb="2" eb="4">
      <t>ソザイ</t>
    </rPh>
    <phoneticPr fontId="1"/>
  </si>
  <si>
    <t>追加素材8</t>
    <rPh sb="0" eb="2">
      <t>ツイカ</t>
    </rPh>
    <rPh sb="2" eb="4">
      <t>ソザイ</t>
    </rPh>
    <phoneticPr fontId="1"/>
  </si>
  <si>
    <t>追加素材9</t>
    <rPh sb="0" eb="2">
      <t>ツイカ</t>
    </rPh>
    <rPh sb="2" eb="4">
      <t>ソザイ</t>
    </rPh>
    <phoneticPr fontId="1"/>
  </si>
  <si>
    <t>追加素材10</t>
    <rPh sb="0" eb="2">
      <t>ツイカ</t>
    </rPh>
    <rPh sb="2" eb="4">
      <t>ソザイ</t>
    </rPh>
    <phoneticPr fontId="1"/>
  </si>
  <si>
    <t>追加素材11</t>
    <rPh sb="0" eb="2">
      <t>ツイカ</t>
    </rPh>
    <rPh sb="2" eb="4">
      <t>ソザイ</t>
    </rPh>
    <phoneticPr fontId="1"/>
  </si>
  <si>
    <t>追加素材12</t>
    <rPh sb="0" eb="2">
      <t>ツイカ</t>
    </rPh>
    <rPh sb="2" eb="4">
      <t>ソザイ</t>
    </rPh>
    <phoneticPr fontId="1"/>
  </si>
  <si>
    <t>追加素材13</t>
    <rPh sb="0" eb="2">
      <t>ツイカ</t>
    </rPh>
    <rPh sb="2" eb="4">
      <t>ソザイ</t>
    </rPh>
    <phoneticPr fontId="1"/>
  </si>
  <si>
    <t>追加素材14</t>
    <rPh sb="0" eb="2">
      <t>ツイカ</t>
    </rPh>
    <rPh sb="2" eb="4">
      <t>ソザイ</t>
    </rPh>
    <phoneticPr fontId="1"/>
  </si>
  <si>
    <t>追加素材15</t>
    <rPh sb="0" eb="2">
      <t>ツイカ</t>
    </rPh>
    <rPh sb="2" eb="4">
      <t>ソザイ</t>
    </rPh>
    <phoneticPr fontId="1"/>
  </si>
  <si>
    <t>追加素材16</t>
    <rPh sb="0" eb="2">
      <t>ツイカ</t>
    </rPh>
    <rPh sb="2" eb="4">
      <t>ソザイ</t>
    </rPh>
    <phoneticPr fontId="1"/>
  </si>
  <si>
    <t>追加素材17</t>
    <rPh sb="0" eb="2">
      <t>ツイカ</t>
    </rPh>
    <rPh sb="2" eb="4">
      <t>ソザイ</t>
    </rPh>
    <phoneticPr fontId="1"/>
  </si>
  <si>
    <t>追加素材18</t>
    <rPh sb="0" eb="2">
      <t>ツイカ</t>
    </rPh>
    <rPh sb="2" eb="4">
      <t>ソザイ</t>
    </rPh>
    <phoneticPr fontId="1"/>
  </si>
  <si>
    <t>追加素材19</t>
    <rPh sb="0" eb="2">
      <t>ツイカ</t>
    </rPh>
    <rPh sb="2" eb="4">
      <t>ソザイ</t>
    </rPh>
    <phoneticPr fontId="1"/>
  </si>
  <si>
    <t>追加素材20</t>
    <rPh sb="0" eb="2">
      <t>ツイカ</t>
    </rPh>
    <rPh sb="2" eb="4">
      <t>ソザイ</t>
    </rPh>
    <phoneticPr fontId="1"/>
  </si>
  <si>
    <t>追加素材21</t>
    <rPh sb="0" eb="2">
      <t>ツイカ</t>
    </rPh>
    <rPh sb="2" eb="4">
      <t>ソザイ</t>
    </rPh>
    <phoneticPr fontId="1"/>
  </si>
  <si>
    <t>追加素材22</t>
    <rPh sb="0" eb="2">
      <t>ツイカ</t>
    </rPh>
    <rPh sb="2" eb="4">
      <t>ソザイ</t>
    </rPh>
    <phoneticPr fontId="1"/>
  </si>
  <si>
    <t>追加素材23</t>
    <rPh sb="0" eb="2">
      <t>ツイカ</t>
    </rPh>
    <rPh sb="2" eb="4">
      <t>ソザイ</t>
    </rPh>
    <phoneticPr fontId="1"/>
  </si>
  <si>
    <t>追加素材24</t>
    <rPh sb="0" eb="2">
      <t>ツイカ</t>
    </rPh>
    <rPh sb="2" eb="4">
      <t>ソザイ</t>
    </rPh>
    <phoneticPr fontId="1"/>
  </si>
  <si>
    <t>追加素材25</t>
    <rPh sb="0" eb="2">
      <t>ツイカ</t>
    </rPh>
    <rPh sb="2" eb="4">
      <t>ソザイ</t>
    </rPh>
    <phoneticPr fontId="1"/>
  </si>
  <si>
    <t>追加素材26</t>
    <rPh sb="0" eb="2">
      <t>ツイカ</t>
    </rPh>
    <rPh sb="2" eb="4">
      <t>ソザイ</t>
    </rPh>
    <phoneticPr fontId="1"/>
  </si>
  <si>
    <t>追加素材27</t>
    <rPh sb="0" eb="2">
      <t>ツイカ</t>
    </rPh>
    <rPh sb="2" eb="4">
      <t>ソザイ</t>
    </rPh>
    <phoneticPr fontId="1"/>
  </si>
  <si>
    <t>追加素材28</t>
    <rPh sb="0" eb="2">
      <t>ツイカ</t>
    </rPh>
    <rPh sb="2" eb="4">
      <t>ソザイ</t>
    </rPh>
    <phoneticPr fontId="1"/>
  </si>
  <si>
    <t>追加素材29</t>
    <rPh sb="0" eb="2">
      <t>ツイカ</t>
    </rPh>
    <rPh sb="2" eb="4">
      <t>ソザイ</t>
    </rPh>
    <phoneticPr fontId="1"/>
  </si>
  <si>
    <t>追加素材30</t>
    <rPh sb="0" eb="2">
      <t>ツイカ</t>
    </rPh>
    <rPh sb="2" eb="4">
      <t>ソザイ</t>
    </rPh>
    <phoneticPr fontId="1"/>
  </si>
  <si>
    <t>杭火石</t>
    <rPh sb="0" eb="1">
      <t>クイ</t>
    </rPh>
    <rPh sb="1" eb="2">
      <t>ヒ</t>
    </rPh>
    <rPh sb="2" eb="3">
      <t>イシ</t>
    </rPh>
    <phoneticPr fontId="1"/>
  </si>
  <si>
    <t>土（乾燥土）</t>
    <rPh sb="0" eb="1">
      <t>ツチ</t>
    </rPh>
    <rPh sb="2" eb="4">
      <t>カンソウ</t>
    </rPh>
    <rPh sb="4" eb="5">
      <t>ツチ</t>
    </rPh>
    <phoneticPr fontId="1"/>
  </si>
  <si>
    <t>土（普通含水土）</t>
    <rPh sb="0" eb="1">
      <t>ツチ</t>
    </rPh>
    <rPh sb="2" eb="4">
      <t>フツウ</t>
    </rPh>
    <rPh sb="4" eb="6">
      <t>ガンスイ</t>
    </rPh>
    <rPh sb="6" eb="7">
      <t>ツチ</t>
    </rPh>
    <phoneticPr fontId="1"/>
  </si>
  <si>
    <t>土（粘土質、含水率14%）</t>
    <rPh sb="0" eb="1">
      <t>ツチ</t>
    </rPh>
    <rPh sb="2" eb="5">
      <t>ネンドシツ</t>
    </rPh>
    <rPh sb="6" eb="8">
      <t>ガンスイ</t>
    </rPh>
    <rPh sb="8" eb="9">
      <t>リツ</t>
    </rPh>
    <phoneticPr fontId="1"/>
  </si>
  <si>
    <t>砂</t>
    <rPh sb="0" eb="1">
      <t>スナ</t>
    </rPh>
    <phoneticPr fontId="1"/>
  </si>
  <si>
    <t>砂層（70%含水）</t>
    <rPh sb="0" eb="1">
      <t>スナ</t>
    </rPh>
    <rPh sb="1" eb="2">
      <t>ソウ</t>
    </rPh>
    <rPh sb="6" eb="8">
      <t>ガンスイ</t>
    </rPh>
    <phoneticPr fontId="1"/>
  </si>
  <si>
    <t>砂利</t>
    <rPh sb="0" eb="2">
      <t>ジャリ</t>
    </rPh>
    <phoneticPr fontId="1"/>
  </si>
  <si>
    <t>■空気・水</t>
    <rPh sb="1" eb="3">
      <t>クウキ</t>
    </rPh>
    <rPh sb="4" eb="5">
      <t>ミズ</t>
    </rPh>
    <phoneticPr fontId="1"/>
  </si>
  <si>
    <t>雪（新雪）</t>
    <rPh sb="0" eb="1">
      <t>ユキ</t>
    </rPh>
    <rPh sb="2" eb="4">
      <t>シンセツ</t>
    </rPh>
    <phoneticPr fontId="1"/>
  </si>
  <si>
    <t>雪（しまり雪）</t>
    <rPh sb="0" eb="1">
      <t>ユキ</t>
    </rPh>
    <rPh sb="5" eb="6">
      <t>ユキ</t>
    </rPh>
    <phoneticPr fontId="1"/>
  </si>
  <si>
    <t>雪（ざらめ雪）</t>
    <rPh sb="0" eb="1">
      <t>ユキ</t>
    </rPh>
    <rPh sb="5" eb="6">
      <t>ユキ</t>
    </rPh>
    <phoneticPr fontId="1"/>
  </si>
  <si>
    <t>水蒸気（0℃）</t>
    <rPh sb="0" eb="3">
      <t>スイジョウキ</t>
    </rPh>
    <phoneticPr fontId="1"/>
  </si>
  <si>
    <t>空気（0℃）</t>
    <rPh sb="0" eb="2">
      <t>クウキ</t>
    </rPh>
    <phoneticPr fontId="1"/>
  </si>
  <si>
    <t>水（10℃）</t>
    <rPh sb="0" eb="1">
      <t>ミズ</t>
    </rPh>
    <phoneticPr fontId="1"/>
  </si>
  <si>
    <t>氷（0℃）</t>
    <rPh sb="0" eb="1">
      <t>コオリ</t>
    </rPh>
    <phoneticPr fontId="1"/>
  </si>
  <si>
    <t>岩綿吸音板</t>
    <rPh sb="0" eb="2">
      <t>ガンメン</t>
    </rPh>
    <rPh sb="2" eb="5">
      <t>キュウオンバン</t>
    </rPh>
    <phoneticPr fontId="1"/>
  </si>
  <si>
    <t>岩綿保温版</t>
    <rPh sb="0" eb="2">
      <t>ガンメン</t>
    </rPh>
    <rPh sb="2" eb="4">
      <t>ホオン</t>
    </rPh>
    <rPh sb="4" eb="5">
      <t>バン</t>
    </rPh>
    <phoneticPr fontId="1"/>
  </si>
  <si>
    <t>JIS A 6307</t>
    <phoneticPr fontId="1"/>
  </si>
  <si>
    <t>JIS A 9504</t>
    <phoneticPr fontId="1"/>
  </si>
  <si>
    <t>フォレストボード</t>
    <phoneticPr fontId="1"/>
  </si>
  <si>
    <t>モルタル（調合1:4）</t>
    <phoneticPr fontId="1"/>
  </si>
  <si>
    <t>「建築の結露」井上書院</t>
    <rPh sb="7" eb="9">
      <t>イノウエ</t>
    </rPh>
    <rPh sb="9" eb="11">
      <t>ショイン</t>
    </rPh>
    <phoneticPr fontId="1"/>
  </si>
  <si>
    <t>茅草</t>
    <rPh sb="0" eb="1">
      <t>カヤ</t>
    </rPh>
    <rPh sb="1" eb="2">
      <t>クサ</t>
    </rPh>
    <phoneticPr fontId="1"/>
  </si>
  <si>
    <t>籾殻</t>
    <rPh sb="0" eb="1">
      <t>モミ</t>
    </rPh>
    <rPh sb="1" eb="2">
      <t>カラ</t>
    </rPh>
    <phoneticPr fontId="1"/>
  </si>
  <si>
    <t>炭殻</t>
    <rPh sb="0" eb="1">
      <t>スミ</t>
    </rPh>
    <rPh sb="1" eb="2">
      <t>カラ</t>
    </rPh>
    <phoneticPr fontId="1"/>
  </si>
  <si>
    <t>7～20mmφ</t>
    <phoneticPr fontId="1"/>
  </si>
  <si>
    <t>ヒノキ（辺材）</t>
    <phoneticPr fontId="1"/>
  </si>
  <si>
    <t>ヒノキ（心材）</t>
    <phoneticPr fontId="1"/>
  </si>
  <si>
    <t>スギ（小口）</t>
    <rPh sb="3" eb="5">
      <t>コグチ</t>
    </rPh>
    <phoneticPr fontId="1"/>
  </si>
  <si>
    <t>建築設計資料集成[環境]S53出版</t>
    <rPh sb="15" eb="17">
      <t>シュッパン</t>
    </rPh>
    <phoneticPr fontId="1"/>
  </si>
  <si>
    <t>JIS A 1412</t>
    <phoneticPr fontId="1"/>
  </si>
  <si>
    <t>JIS A 9511</t>
  </si>
  <si>
    <t>白神フォレストコーポレーション</t>
    <phoneticPr fontId="1"/>
  </si>
  <si>
    <t>JIS A 1324</t>
    <phoneticPr fontId="1"/>
  </si>
  <si>
    <t>JIS A 1412-2</t>
    <phoneticPr fontId="1"/>
  </si>
  <si>
    <t>パヴァテックス イソレア</t>
    <phoneticPr fontId="1"/>
  </si>
  <si>
    <t>パヴァフレックス　パヴァテルム</t>
    <phoneticPr fontId="1"/>
  </si>
  <si>
    <t>パヴァフレックス　パヴァフレックス</t>
    <phoneticPr fontId="1"/>
  </si>
  <si>
    <t>パヴァテックス</t>
    <phoneticPr fontId="1"/>
  </si>
  <si>
    <t>パフォームガード(タイプ9 基礎用)</t>
    <rPh sb="14" eb="16">
      <t>キソ</t>
    </rPh>
    <rPh sb="16" eb="17">
      <t>ヨウ</t>
    </rPh>
    <phoneticPr fontId="1"/>
  </si>
  <si>
    <t>東北資材工業</t>
    <rPh sb="0" eb="2">
      <t>トウホク</t>
    </rPh>
    <rPh sb="2" eb="4">
      <t>シザイ</t>
    </rPh>
    <rPh sb="4" eb="6">
      <t>コウギョウ</t>
    </rPh>
    <phoneticPr fontId="1"/>
  </si>
  <si>
    <t>スタイロフォームＡＴ（基礎用）</t>
    <rPh sb="11" eb="13">
      <t>キソ</t>
    </rPh>
    <rPh sb="13" eb="14">
      <t>ヨウ</t>
    </rPh>
    <phoneticPr fontId="1"/>
  </si>
  <si>
    <t>アキレス</t>
    <phoneticPr fontId="1"/>
  </si>
  <si>
    <t>日鉄住金鋼板</t>
    <rPh sb="0" eb="2">
      <t>ニッテツ</t>
    </rPh>
    <rPh sb="2" eb="4">
      <t>スミキン</t>
    </rPh>
    <rPh sb="4" eb="6">
      <t>コウハン</t>
    </rPh>
    <phoneticPr fontId="1"/>
  </si>
  <si>
    <t>鋼板断熱サンドイッチパネル</t>
    <rPh sb="0" eb="2">
      <t>コウハン</t>
    </rPh>
    <rPh sb="2" eb="4">
      <t>ダンネツ</t>
    </rPh>
    <phoneticPr fontId="1"/>
  </si>
  <si>
    <t>グッドライト ホンシュウ</t>
    <phoneticPr fontId="1"/>
  </si>
  <si>
    <t>カネライトフォームE3</t>
    <phoneticPr fontId="1"/>
  </si>
  <si>
    <t>カネカ</t>
    <phoneticPr fontId="1"/>
  </si>
  <si>
    <t>エコ・トランスファー・ジャパン</t>
    <phoneticPr fontId="1"/>
  </si>
  <si>
    <t>タイベック　ハウスラップ（ハード）</t>
    <phoneticPr fontId="1"/>
  </si>
  <si>
    <t>タイベック　シルバー</t>
    <phoneticPr fontId="1"/>
  </si>
  <si>
    <t>タイベック　ルーフライナー</t>
    <phoneticPr fontId="1"/>
  </si>
  <si>
    <t>ソリテックスフロンタ クアトロ</t>
    <phoneticPr fontId="1"/>
  </si>
  <si>
    <t>ソリテックスフロンタ　WA</t>
    <phoneticPr fontId="1"/>
  </si>
  <si>
    <t>タイベック　ハウスラップ（ソフト）</t>
    <phoneticPr fontId="1"/>
  </si>
  <si>
    <t>ソリテックスメント 3000コネクト</t>
    <phoneticPr fontId="1"/>
  </si>
  <si>
    <t>ユニットバス床　ほっからり床</t>
    <phoneticPr fontId="1"/>
  </si>
  <si>
    <t>バウビオ　断熱N</t>
    <rPh sb="5" eb="7">
      <t>ダンネツ</t>
    </rPh>
    <phoneticPr fontId="1"/>
  </si>
  <si>
    <t>バウビオ　調湿T</t>
    <rPh sb="5" eb="7">
      <t>チョウシツ</t>
    </rPh>
    <phoneticPr fontId="1"/>
  </si>
  <si>
    <t>日本インシュレーション</t>
    <rPh sb="0" eb="2">
      <t>ニホン</t>
    </rPh>
    <phoneticPr fontId="1"/>
  </si>
  <si>
    <t>■非木質系材料、左官類</t>
    <rPh sb="1" eb="2">
      <t>ヒ</t>
    </rPh>
    <rPh sb="2" eb="4">
      <t>モクシツ</t>
    </rPh>
    <rPh sb="4" eb="5">
      <t>ケイ</t>
    </rPh>
    <rPh sb="5" eb="7">
      <t>ザイリョウ</t>
    </rPh>
    <phoneticPr fontId="1"/>
  </si>
  <si>
    <t>「建物の結露」学芸出版社 (2003/04)</t>
    <rPh sb="1" eb="3">
      <t>タテモノ</t>
    </rPh>
    <phoneticPr fontId="1"/>
  </si>
  <si>
    <t>モイス</t>
    <phoneticPr fontId="1"/>
  </si>
  <si>
    <t>モイス</t>
    <phoneticPr fontId="1"/>
  </si>
  <si>
    <t>吉野石膏</t>
    <rPh sb="0" eb="2">
      <t>ヨシノ</t>
    </rPh>
    <rPh sb="2" eb="4">
      <t>セッコウ</t>
    </rPh>
    <phoneticPr fontId="1"/>
  </si>
  <si>
    <t>針葉樹構造用合板 特類2級</t>
    <rPh sb="0" eb="3">
      <t>シンヨウジュ</t>
    </rPh>
    <rPh sb="3" eb="6">
      <t>コウゾウヨウ</t>
    </rPh>
    <rPh sb="6" eb="8">
      <t>ゴウハン</t>
    </rPh>
    <rPh sb="9" eb="11">
      <t>トクルイ</t>
    </rPh>
    <rPh sb="12" eb="13">
      <t>キュウ</t>
    </rPh>
    <phoneticPr fontId="1"/>
  </si>
  <si>
    <t>バウビオ　調湿H</t>
    <rPh sb="5" eb="7">
      <t>チョウシツ</t>
    </rPh>
    <phoneticPr fontId="1"/>
  </si>
  <si>
    <t>高気密ボード（防湿せっこうボード）</t>
    <rPh sb="0" eb="3">
      <t>コウキミツ</t>
    </rPh>
    <rPh sb="7" eb="9">
      <t>ボウシツ</t>
    </rPh>
    <phoneticPr fontId="1"/>
  </si>
  <si>
    <t>スペーシア（真空ガラス）</t>
    <rPh sb="6" eb="8">
      <t>シンクウ</t>
    </rPh>
    <phoneticPr fontId="1"/>
  </si>
  <si>
    <t>日本板硝子</t>
    <rPh sb="0" eb="2">
      <t>ニホン</t>
    </rPh>
    <rPh sb="2" eb="3">
      <t>イタ</t>
    </rPh>
    <rPh sb="3" eb="5">
      <t>ガラス</t>
    </rPh>
    <phoneticPr fontId="1"/>
  </si>
  <si>
    <t>日本板硝子</t>
    <rPh sb="0" eb="2">
      <t>ニホン</t>
    </rPh>
    <rPh sb="2" eb="3">
      <t>イタ</t>
    </rPh>
    <rPh sb="3" eb="5">
      <t>ガラス</t>
    </rPh>
    <phoneticPr fontId="1"/>
  </si>
  <si>
    <t>スペーシア21（複層真空ガラス）</t>
    <rPh sb="8" eb="10">
      <t>フクソウ</t>
    </rPh>
    <rPh sb="10" eb="12">
      <t>シンクウ</t>
    </rPh>
    <phoneticPr fontId="1"/>
  </si>
  <si>
    <t>LOW-Eペアガラス（A12)</t>
    <phoneticPr fontId="1"/>
  </si>
  <si>
    <t>LOW-Eペアガラス（A6)</t>
    <phoneticPr fontId="1"/>
  </si>
  <si>
    <t>ペアガラス（A6）</t>
    <phoneticPr fontId="1"/>
  </si>
  <si>
    <t>ユニットバス床　無断熱</t>
    <phoneticPr fontId="1"/>
  </si>
  <si>
    <t>TOTO サザナ（ほっカラリ）</t>
    <phoneticPr fontId="1"/>
  </si>
  <si>
    <t>TOTO サザナ（無断熱仕様）浴槽側のみ発泡スチロールt35</t>
    <rPh sb="9" eb="10">
      <t>ム</t>
    </rPh>
    <rPh sb="10" eb="12">
      <t>ダンネツ</t>
    </rPh>
    <rPh sb="12" eb="14">
      <t>シヨウ</t>
    </rPh>
    <rPh sb="15" eb="17">
      <t>ヨクソウ</t>
    </rPh>
    <rPh sb="17" eb="18">
      <t>ガワ</t>
    </rPh>
    <rPh sb="20" eb="22">
      <t>ハッポウ</t>
    </rPh>
    <phoneticPr fontId="1"/>
  </si>
  <si>
    <t>TOTO サザナ（カラリ＋発泡PEシート）</t>
    <rPh sb="13" eb="15">
      <t>ハッポウ</t>
    </rPh>
    <phoneticPr fontId="1"/>
  </si>
  <si>
    <t>「住宅の結露防止」学芸出版社 (2004/04)</t>
    <phoneticPr fontId="1"/>
  </si>
  <si>
    <t>「最新建築環境工学」井上書院</t>
    <rPh sb="10" eb="12">
      <t>イノウエ</t>
    </rPh>
    <rPh sb="12" eb="14">
      <t>ショイン</t>
    </rPh>
    <phoneticPr fontId="1"/>
  </si>
  <si>
    <t>「健康なすまいへの道」建築資料研究社</t>
    <rPh sb="11" eb="13">
      <t>ケンチク</t>
    </rPh>
    <rPh sb="13" eb="15">
      <t>シリョウ</t>
    </rPh>
    <rPh sb="15" eb="17">
      <t>ケンキュウ</t>
    </rPh>
    <rPh sb="17" eb="18">
      <t>シャ</t>
    </rPh>
    <phoneticPr fontId="1"/>
  </si>
  <si>
    <t>「新「そらどまの家」」萌文社</t>
    <rPh sb="1" eb="2">
      <t>シン</t>
    </rPh>
    <rPh sb="8" eb="9">
      <t>イエ</t>
    </rPh>
    <rPh sb="11" eb="12">
      <t>モ</t>
    </rPh>
    <rPh sb="12" eb="13">
      <t>ブン</t>
    </rPh>
    <rPh sb="13" eb="14">
      <t>シャ</t>
    </rPh>
    <phoneticPr fontId="1"/>
  </si>
  <si>
    <t>AE/Sim-Heatマニュアル</t>
    <phoneticPr fontId="1"/>
  </si>
  <si>
    <t>SolarDesigner6マニュアル</t>
    <phoneticPr fontId="1"/>
  </si>
  <si>
    <t>WinDEWマニュアル</t>
    <phoneticPr fontId="1"/>
  </si>
  <si>
    <t>メーカー性能試験データ</t>
    <rPh sb="4" eb="6">
      <t>セイノウ</t>
    </rPh>
    <rPh sb="6" eb="8">
      <t>シケン</t>
    </rPh>
    <phoneticPr fontId="1"/>
  </si>
  <si>
    <t>「結露防止ガイドブック」IBEC</t>
    <phoneticPr fontId="1"/>
  </si>
  <si>
    <t>「自立循環型住宅 温暖地版」IBEC</t>
    <rPh sb="1" eb="3">
      <t>ジリツ</t>
    </rPh>
    <rPh sb="3" eb="6">
      <t>ジュンカンガタ</t>
    </rPh>
    <rPh sb="6" eb="8">
      <t>ジュウタク</t>
    </rPh>
    <rPh sb="9" eb="11">
      <t>オンダン</t>
    </rPh>
    <rPh sb="11" eb="12">
      <t>チ</t>
    </rPh>
    <rPh sb="12" eb="13">
      <t>バン</t>
    </rPh>
    <phoneticPr fontId="1"/>
  </si>
  <si>
    <t>「H28年省エネ基準解説」IBEC</t>
    <rPh sb="4" eb="5">
      <t>ネン</t>
    </rPh>
    <rPh sb="5" eb="6">
      <t>ショウ</t>
    </rPh>
    <rPh sb="8" eb="10">
      <t>キジュン</t>
    </rPh>
    <rPh sb="10" eb="12">
      <t>カイセツ</t>
    </rPh>
    <phoneticPr fontId="1"/>
  </si>
  <si>
    <t>「H25年省エネ基準解説」IBEC</t>
    <rPh sb="4" eb="5">
      <t>ネン</t>
    </rPh>
    <rPh sb="5" eb="6">
      <t>ショウ</t>
    </rPh>
    <rPh sb="8" eb="10">
      <t>キジュン</t>
    </rPh>
    <rPh sb="10" eb="12">
      <t>カイセツ</t>
    </rPh>
    <phoneticPr fontId="1"/>
  </si>
  <si>
    <t>「H11年省エネ基準解説」IBEC</t>
    <rPh sb="4" eb="5">
      <t>ネン</t>
    </rPh>
    <rPh sb="5" eb="6">
      <t>ショウ</t>
    </rPh>
    <rPh sb="8" eb="10">
      <t>キジュン</t>
    </rPh>
    <rPh sb="10" eb="12">
      <t>カイセツ</t>
    </rPh>
    <phoneticPr fontId="1"/>
  </si>
  <si>
    <t>熱浸透率</t>
    <rPh sb="0" eb="1">
      <t>ネツ</t>
    </rPh>
    <rPh sb="1" eb="3">
      <t>シントウ</t>
    </rPh>
    <rPh sb="3" eb="4">
      <t>リツ</t>
    </rPh>
    <phoneticPr fontId="1"/>
  </si>
  <si>
    <t>温度拡散率</t>
    <rPh sb="0" eb="2">
      <t>オンド</t>
    </rPh>
    <rPh sb="2" eb="4">
      <t>カクサン</t>
    </rPh>
    <rPh sb="4" eb="5">
      <t>リツ</t>
    </rPh>
    <phoneticPr fontId="1"/>
  </si>
  <si>
    <t>-</t>
    <phoneticPr fontId="1"/>
  </si>
  <si>
    <t>sd値</t>
    <phoneticPr fontId="1"/>
  </si>
  <si>
    <t>m</t>
    <phoneticPr fontId="1"/>
  </si>
  <si>
    <t>境界面絶対湿度</t>
    <rPh sb="0" eb="3">
      <t>キョウカイメン</t>
    </rPh>
    <rPh sb="3" eb="5">
      <t>ゼッタイ</t>
    </rPh>
    <rPh sb="5" eb="7">
      <t>シツド</t>
    </rPh>
    <phoneticPr fontId="1"/>
  </si>
  <si>
    <t>エンタルピー</t>
    <phoneticPr fontId="1"/>
  </si>
  <si>
    <t>[kJ/kg']</t>
    <phoneticPr fontId="1"/>
  </si>
  <si>
    <t>1地域</t>
    <rPh sb="1" eb="3">
      <t>チイキ</t>
    </rPh>
    <phoneticPr fontId="1"/>
  </si>
  <si>
    <t>2地域</t>
    <rPh sb="1" eb="3">
      <t>チイキ</t>
    </rPh>
    <phoneticPr fontId="1"/>
  </si>
  <si>
    <t>3地域</t>
    <rPh sb="1" eb="3">
      <t>チイキ</t>
    </rPh>
    <phoneticPr fontId="1"/>
  </si>
  <si>
    <t>4地域</t>
    <rPh sb="1" eb="3">
      <t>チイキ</t>
    </rPh>
    <phoneticPr fontId="1"/>
  </si>
  <si>
    <t>5地域</t>
    <rPh sb="1" eb="3">
      <t>チイキ</t>
    </rPh>
    <phoneticPr fontId="1"/>
  </si>
  <si>
    <t>6地域</t>
    <rPh sb="1" eb="3">
      <t>チイキ</t>
    </rPh>
    <phoneticPr fontId="1"/>
  </si>
  <si>
    <t>7地域</t>
    <rPh sb="1" eb="3">
      <t>チイキ</t>
    </rPh>
    <phoneticPr fontId="1"/>
  </si>
  <si>
    <t>8地域</t>
    <rPh sb="1" eb="3">
      <t>チイキ</t>
    </rPh>
    <phoneticPr fontId="1"/>
  </si>
  <si>
    <t>H28年建築物省エネルギー法</t>
    <rPh sb="3" eb="4">
      <t>ネン</t>
    </rPh>
    <rPh sb="4" eb="7">
      <t>ケンチクブツ</t>
    </rPh>
    <rPh sb="7" eb="8">
      <t>ショウ</t>
    </rPh>
    <rPh sb="13" eb="14">
      <t>ホウ</t>
    </rPh>
    <phoneticPr fontId="1"/>
  </si>
  <si>
    <t>Ｈ25年エネルギーの合理化に関する法律</t>
    <rPh sb="3" eb="4">
      <t>ネン</t>
    </rPh>
    <rPh sb="10" eb="13">
      <t>ゴウリカ</t>
    </rPh>
    <rPh sb="14" eb="15">
      <t>カン</t>
    </rPh>
    <rPh sb="17" eb="19">
      <t>ホウリツ</t>
    </rPh>
    <phoneticPr fontId="1"/>
  </si>
  <si>
    <t>イケダコーポレーション</t>
    <phoneticPr fontId="1"/>
  </si>
  <si>
    <t>水蒸気拡散抵抗係数μ</t>
    <phoneticPr fontId="1"/>
  </si>
  <si>
    <t>密閉空気層　10mm以下</t>
    <rPh sb="0" eb="2">
      <t>ミッペイ</t>
    </rPh>
    <rPh sb="2" eb="4">
      <t>クウキ</t>
    </rPh>
    <rPh sb="4" eb="5">
      <t>ソウ</t>
    </rPh>
    <rPh sb="10" eb="12">
      <t>イカ</t>
    </rPh>
    <phoneticPr fontId="1"/>
  </si>
  <si>
    <t>密閉空気層　10mm以上</t>
    <rPh sb="0" eb="2">
      <t>ミッペイ</t>
    </rPh>
    <rPh sb="2" eb="4">
      <t>クウキ</t>
    </rPh>
    <rPh sb="4" eb="5">
      <t>ソウ</t>
    </rPh>
    <phoneticPr fontId="1"/>
  </si>
  <si>
    <t>素材１０</t>
    <rPh sb="0" eb="2">
      <t>ソザイ</t>
    </rPh>
    <phoneticPr fontId="1"/>
  </si>
  <si>
    <t>素材１１</t>
    <rPh sb="0" eb="2">
      <t>ソザイ</t>
    </rPh>
    <phoneticPr fontId="1"/>
  </si>
  <si>
    <t>素材１２</t>
    <rPh sb="0" eb="2">
      <t>ソザイ</t>
    </rPh>
    <phoneticPr fontId="1"/>
  </si>
  <si>
    <t>密閉空気層（省エネ基準）</t>
    <rPh sb="0" eb="2">
      <t>ミッペイ</t>
    </rPh>
    <rPh sb="2" eb="4">
      <t>クウキ</t>
    </rPh>
    <rPh sb="4" eb="5">
      <t>ソウ</t>
    </rPh>
    <rPh sb="6" eb="7">
      <t>ショウ</t>
    </rPh>
    <rPh sb="9" eb="11">
      <t>キジュン</t>
    </rPh>
    <phoneticPr fontId="1"/>
  </si>
  <si>
    <t>固定値</t>
    <rPh sb="0" eb="3">
      <t>コテイチ</t>
    </rPh>
    <phoneticPr fontId="1"/>
  </si>
  <si>
    <t>直交集成板（CLT）</t>
    <rPh sb="0" eb="2">
      <t>チョッコウ</t>
    </rPh>
    <rPh sb="2" eb="4">
      <t>シュウセイ</t>
    </rPh>
    <rPh sb="4" eb="5">
      <t>イタ</t>
    </rPh>
    <phoneticPr fontId="1"/>
  </si>
  <si>
    <t>ミディアムデンシティファイバーボード（MDF）</t>
    <phoneticPr fontId="1"/>
  </si>
  <si>
    <t>ハードファイバーボード（ハードボード）</t>
    <phoneticPr fontId="1"/>
  </si>
  <si>
    <t>グラスウール断熱材　10K相当</t>
    <rPh sb="6" eb="9">
      <t>ダンネツザイ</t>
    </rPh>
    <rPh sb="13" eb="15">
      <t>ソウトウ</t>
    </rPh>
    <phoneticPr fontId="1"/>
  </si>
  <si>
    <t>グラスウール断熱材　16K相当</t>
    <phoneticPr fontId="1"/>
  </si>
  <si>
    <t>グラスウール断熱材　20K相当</t>
    <phoneticPr fontId="1"/>
  </si>
  <si>
    <t>グラスウール断熱材　24K相当</t>
    <phoneticPr fontId="1"/>
  </si>
  <si>
    <t>グラスウール断熱材　32K相当</t>
    <phoneticPr fontId="1"/>
  </si>
  <si>
    <t>高性能グラスウール断熱材　16K相当</t>
    <rPh sb="0" eb="3">
      <t>コウセイノウ</t>
    </rPh>
    <phoneticPr fontId="1"/>
  </si>
  <si>
    <t>高性能グラスウール断熱材　24K相当</t>
    <rPh sb="0" eb="3">
      <t>コウセイノウ</t>
    </rPh>
    <phoneticPr fontId="1"/>
  </si>
  <si>
    <t>高性能グラスウール断熱材　32K相当</t>
    <rPh sb="0" eb="3">
      <t>コウセイノウ</t>
    </rPh>
    <phoneticPr fontId="1"/>
  </si>
  <si>
    <t>高性能グラスウール断熱材　40K相当</t>
    <rPh sb="0" eb="3">
      <t>コウセイノウ</t>
    </rPh>
    <phoneticPr fontId="1"/>
  </si>
  <si>
    <t>高性能グラスウール断熱材　48K相当</t>
    <rPh sb="0" eb="3">
      <t>コウセイノウ</t>
    </rPh>
    <phoneticPr fontId="1"/>
  </si>
  <si>
    <t>吹込み用グラスウール　13K相当</t>
    <rPh sb="0" eb="1">
      <t>フ</t>
    </rPh>
    <rPh sb="1" eb="2">
      <t>コ</t>
    </rPh>
    <rPh sb="3" eb="4">
      <t>ヨウ</t>
    </rPh>
    <phoneticPr fontId="1"/>
  </si>
  <si>
    <t>吹込み用グラスウール　18K相当</t>
    <rPh sb="0" eb="1">
      <t>フ</t>
    </rPh>
    <rPh sb="1" eb="2">
      <t>コ</t>
    </rPh>
    <rPh sb="3" eb="4">
      <t>ヨウ</t>
    </rPh>
    <phoneticPr fontId="1"/>
  </si>
  <si>
    <t>吹込み用グラスウール　30K相当</t>
    <rPh sb="0" eb="1">
      <t>フ</t>
    </rPh>
    <rPh sb="1" eb="2">
      <t>コ</t>
    </rPh>
    <rPh sb="3" eb="4">
      <t>ヨウ</t>
    </rPh>
    <phoneticPr fontId="1"/>
  </si>
  <si>
    <t>吹込み用グラスウール　35K相当</t>
    <rPh sb="0" eb="1">
      <t>フ</t>
    </rPh>
    <rPh sb="1" eb="2">
      <t>コ</t>
    </rPh>
    <rPh sb="3" eb="4">
      <t>ヨウ</t>
    </rPh>
    <phoneticPr fontId="1"/>
  </si>
  <si>
    <t>吹込み用ロックウール　25K相当</t>
    <rPh sb="0" eb="2">
      <t>フキコ</t>
    </rPh>
    <rPh sb="3" eb="4">
      <t>ヨウ</t>
    </rPh>
    <phoneticPr fontId="1"/>
  </si>
  <si>
    <t>吹込み用ロックウール　65K相当</t>
    <rPh sb="0" eb="2">
      <t>フキコ</t>
    </rPh>
    <rPh sb="3" eb="4">
      <t>ヨウ</t>
    </rPh>
    <phoneticPr fontId="1"/>
  </si>
  <si>
    <t>押出法ポリスチレンフォーム保温版　1種</t>
    <rPh sb="0" eb="2">
      <t>オシダシ</t>
    </rPh>
    <rPh sb="2" eb="3">
      <t>ホウ</t>
    </rPh>
    <rPh sb="13" eb="15">
      <t>ホオン</t>
    </rPh>
    <rPh sb="15" eb="16">
      <t>バン</t>
    </rPh>
    <rPh sb="18" eb="19">
      <t>シュ</t>
    </rPh>
    <phoneticPr fontId="1"/>
  </si>
  <si>
    <t>押出法ポリスチレンフォーム保温版　2種</t>
    <rPh sb="0" eb="2">
      <t>オシダシ</t>
    </rPh>
    <rPh sb="2" eb="3">
      <t>ホウ</t>
    </rPh>
    <rPh sb="18" eb="19">
      <t>シュ</t>
    </rPh>
    <phoneticPr fontId="1"/>
  </si>
  <si>
    <t>インシュレーションファイバー断熱材ファイバーマット</t>
    <rPh sb="14" eb="17">
      <t>ダンネツザイ</t>
    </rPh>
    <phoneticPr fontId="1"/>
  </si>
  <si>
    <t>インシュレーションファイバー断熱材ファイバーボード</t>
    <rPh sb="14" eb="17">
      <t>ダンネツザイ</t>
    </rPh>
    <phoneticPr fontId="1"/>
  </si>
  <si>
    <t>押出法ポリスチレンフォーム保温版　3種D</t>
    <rPh sb="0" eb="2">
      <t>オシダシ</t>
    </rPh>
    <rPh sb="2" eb="3">
      <t>ホウ</t>
    </rPh>
    <rPh sb="18" eb="19">
      <t>シュ</t>
    </rPh>
    <phoneticPr fontId="1"/>
  </si>
  <si>
    <t>押出法ポリスチレンフォーム保温版　3種A</t>
    <rPh sb="0" eb="2">
      <t>オシダシ</t>
    </rPh>
    <rPh sb="2" eb="3">
      <t>ホウ</t>
    </rPh>
    <rPh sb="18" eb="19">
      <t>シュ</t>
    </rPh>
    <phoneticPr fontId="1"/>
  </si>
  <si>
    <t>押出法ポリスチレンフォーム保温版　3種B</t>
    <rPh sb="0" eb="2">
      <t>オシダシ</t>
    </rPh>
    <rPh sb="2" eb="3">
      <t>ホウ</t>
    </rPh>
    <rPh sb="18" eb="19">
      <t>シュ</t>
    </rPh>
    <phoneticPr fontId="1"/>
  </si>
  <si>
    <t>押出法ポリスチレンフォーム保温版　3種C</t>
    <rPh sb="0" eb="2">
      <t>オシダシ</t>
    </rPh>
    <rPh sb="2" eb="3">
      <t>ホウ</t>
    </rPh>
    <rPh sb="18" eb="19">
      <t>シュ</t>
    </rPh>
    <phoneticPr fontId="1"/>
  </si>
  <si>
    <t>硬質ウレタンフォーム保温版　1種</t>
    <rPh sb="0" eb="2">
      <t>コウシツ</t>
    </rPh>
    <rPh sb="15" eb="16">
      <t>シュ</t>
    </rPh>
    <phoneticPr fontId="1"/>
  </si>
  <si>
    <t>吹付け硬質ウレタンフォーム　A種１H</t>
    <rPh sb="15" eb="16">
      <t>シュ</t>
    </rPh>
    <phoneticPr fontId="1"/>
  </si>
  <si>
    <t>フェノールフォーム　2種1号AⅠ,AⅡ</t>
    <rPh sb="11" eb="12">
      <t>シュ</t>
    </rPh>
    <rPh sb="13" eb="14">
      <t>ゴウ</t>
    </rPh>
    <phoneticPr fontId="1"/>
  </si>
  <si>
    <t>フェノールフォーム　2種2号AⅠ,AⅡ</t>
    <rPh sb="11" eb="12">
      <t>シュ</t>
    </rPh>
    <rPh sb="13" eb="14">
      <t>ゴウ</t>
    </rPh>
    <phoneticPr fontId="1"/>
  </si>
  <si>
    <t>フェノールフォーム　2種3号AⅠ,AⅡ</t>
    <rPh sb="11" eb="12">
      <t>シュ</t>
    </rPh>
    <rPh sb="13" eb="14">
      <t>ゴウ</t>
    </rPh>
    <phoneticPr fontId="1"/>
  </si>
  <si>
    <t>フェノールフォーム　3種1号AⅠ,AⅡ</t>
    <rPh sb="11" eb="12">
      <t>シュ</t>
    </rPh>
    <rPh sb="13" eb="14">
      <t>ゴウ</t>
    </rPh>
    <phoneticPr fontId="1"/>
  </si>
  <si>
    <t>フェノールフォーム　1種1号,2号AⅠ,AⅡ</t>
    <rPh sb="11" eb="12">
      <t>シュ</t>
    </rPh>
    <phoneticPr fontId="1"/>
  </si>
  <si>
    <t>フェノールフォーム　1種1号,2号BⅠ,BⅡ</t>
    <rPh sb="11" eb="12">
      <t>シュ</t>
    </rPh>
    <phoneticPr fontId="1"/>
  </si>
  <si>
    <t>フェノールフォーム　1種1号,2号CⅠ,CⅡ</t>
    <phoneticPr fontId="1"/>
  </si>
  <si>
    <t>フェノールフォーム　1種1号,2号DⅠ,DⅡ</t>
    <rPh sb="11" eb="12">
      <t>シュ</t>
    </rPh>
    <phoneticPr fontId="1"/>
  </si>
  <si>
    <t>フェノールフォーム　1種1号,2号EⅠ,EⅡ</t>
    <rPh sb="11" eb="12">
      <t>シュ</t>
    </rPh>
    <phoneticPr fontId="1"/>
  </si>
  <si>
    <t>W/mK</t>
    <phoneticPr fontId="1"/>
  </si>
  <si>
    <t>駒場（北海道河東郡音更町）</t>
    <rPh sb="0" eb="2">
      <t>コマバ</t>
    </rPh>
    <rPh sb="3" eb="6">
      <t>ホッカイドウ</t>
    </rPh>
    <rPh sb="6" eb="9">
      <t>カトウグン</t>
    </rPh>
    <rPh sb="9" eb="11">
      <t>オトフケ</t>
    </rPh>
    <rPh sb="11" eb="12">
      <t>チョウ</t>
    </rPh>
    <phoneticPr fontId="1"/>
  </si>
  <si>
    <t>立科（長野県立科町）</t>
    <rPh sb="0" eb="2">
      <t>タテシナ</t>
    </rPh>
    <rPh sb="3" eb="6">
      <t>ナガノケン</t>
    </rPh>
    <rPh sb="6" eb="8">
      <t>タテシナ</t>
    </rPh>
    <rPh sb="8" eb="9">
      <t>マチ</t>
    </rPh>
    <phoneticPr fontId="1"/>
  </si>
  <si>
    <t>伊那（長野県伊那市）</t>
    <rPh sb="0" eb="2">
      <t>イナ</t>
    </rPh>
    <rPh sb="3" eb="6">
      <t>ナガノケン</t>
    </rPh>
    <rPh sb="6" eb="8">
      <t>イナ</t>
    </rPh>
    <rPh sb="8" eb="9">
      <t>シ</t>
    </rPh>
    <phoneticPr fontId="1"/>
  </si>
  <si>
    <t>後免（高知県南国市）</t>
    <rPh sb="0" eb="2">
      <t>ゴメン</t>
    </rPh>
    <phoneticPr fontId="1"/>
  </si>
  <si>
    <t>舞鶴（京都府舞鶴市）</t>
    <rPh sb="0" eb="2">
      <t>マイヅル</t>
    </rPh>
    <rPh sb="3" eb="6">
      <t>キョウトフ</t>
    </rPh>
    <rPh sb="6" eb="8">
      <t>マイヅル</t>
    </rPh>
    <rPh sb="8" eb="9">
      <t>イチ</t>
    </rPh>
    <phoneticPr fontId="1"/>
  </si>
  <si>
    <t>ゾンターク(Sonntag)の式/日本工業規格 (JIS Z 8806) で用いられている式</t>
    <phoneticPr fontId="1"/>
  </si>
  <si>
    <t>シュタイコ ゼル（吹込）</t>
    <rPh sb="9" eb="11">
      <t>フキコ</t>
    </rPh>
    <phoneticPr fontId="1"/>
  </si>
  <si>
    <t>シュタイコ フレックス038（マット）</t>
    <phoneticPr fontId="1"/>
  </si>
  <si>
    <t>シュタイコ デュオドライ</t>
    <phoneticPr fontId="1"/>
  </si>
  <si>
    <t>アルセコ（接着剤～仕上げ塗装）</t>
    <phoneticPr fontId="1"/>
  </si>
  <si>
    <t>追加素材3</t>
    <rPh sb="0" eb="2">
      <t>ツイカ</t>
    </rPh>
    <rPh sb="2" eb="4">
      <t>ソザイ</t>
    </rPh>
    <phoneticPr fontId="1"/>
  </si>
  <si>
    <t>追加素材4</t>
    <rPh sb="0" eb="2">
      <t>ツイカ</t>
    </rPh>
    <rPh sb="2" eb="4">
      <t>ソザイ</t>
    </rPh>
    <phoneticPr fontId="1"/>
  </si>
  <si>
    <t>追加素材5</t>
    <rPh sb="0" eb="2">
      <t>ツイカ</t>
    </rPh>
    <rPh sb="2" eb="4">
      <t>ソザイ</t>
    </rPh>
    <phoneticPr fontId="1"/>
  </si>
  <si>
    <t>追加素材6</t>
    <rPh sb="0" eb="2">
      <t>ツイカ</t>
    </rPh>
    <rPh sb="2" eb="4">
      <t>ソザイ</t>
    </rPh>
    <phoneticPr fontId="1"/>
  </si>
  <si>
    <t>目次</t>
    <rPh sb="0" eb="2">
      <t>モクジ</t>
    </rPh>
    <phoneticPr fontId="1"/>
  </si>
  <si>
    <t>旧基準</t>
    <rPh sb="0" eb="3">
      <t>キュウキジュン</t>
    </rPh>
    <phoneticPr fontId="1"/>
  </si>
  <si>
    <t>1999年以前は開放型も多かったため15℃70％想定の基準</t>
    <phoneticPr fontId="1"/>
  </si>
  <si>
    <t>2014年までの基準</t>
    <rPh sb="4" eb="5">
      <t>ネン</t>
    </rPh>
    <rPh sb="8" eb="10">
      <t>キジュン</t>
    </rPh>
    <phoneticPr fontId="1"/>
  </si>
  <si>
    <t>2022年10月の改正</t>
    <rPh sb="4" eb="5">
      <t>ネン</t>
    </rPh>
    <rPh sb="7" eb="8">
      <t>ガツ</t>
    </rPh>
    <rPh sb="9" eb="11">
      <t>カイセイ</t>
    </rPh>
    <phoneticPr fontId="1"/>
  </si>
  <si>
    <t>親和（北海道新冠郡新冠町）</t>
    <rPh sb="0" eb="2">
      <t>シンワ</t>
    </rPh>
    <rPh sb="3" eb="6">
      <t>ホッカイドウ</t>
    </rPh>
    <rPh sb="6" eb="7">
      <t>シン</t>
    </rPh>
    <rPh sb="7" eb="8">
      <t>カンムリ</t>
    </rPh>
    <rPh sb="8" eb="9">
      <t>グン</t>
    </rPh>
    <rPh sb="9" eb="11">
      <t>ニイカップ</t>
    </rPh>
    <rPh sb="11" eb="12">
      <t>チョウ</t>
    </rPh>
    <phoneticPr fontId="1"/>
  </si>
  <si>
    <t>好摩（岩手県岩手郡玉山村）</t>
    <rPh sb="0" eb="2">
      <t>コウマ</t>
    </rPh>
    <rPh sb="3" eb="6">
      <t>イワテケン</t>
    </rPh>
    <rPh sb="6" eb="9">
      <t>イワテグン</t>
    </rPh>
    <rPh sb="9" eb="11">
      <t>タマヤマ</t>
    </rPh>
    <rPh sb="11" eb="12">
      <t>ムラ</t>
    </rPh>
    <phoneticPr fontId="1"/>
  </si>
  <si>
    <t>諏訪（長野県諏訪市）</t>
    <rPh sb="0" eb="2">
      <t>スワ</t>
    </rPh>
    <rPh sb="3" eb="6">
      <t>ナガノケン</t>
    </rPh>
    <rPh sb="6" eb="8">
      <t>スワ</t>
    </rPh>
    <rPh sb="8" eb="9">
      <t>シ</t>
    </rPh>
    <phoneticPr fontId="1"/>
  </si>
  <si>
    <t>西部（宮崎県西都市）</t>
    <rPh sb="0" eb="1">
      <t>ニシ</t>
    </rPh>
    <rPh sb="1" eb="2">
      <t>ベ</t>
    </rPh>
    <rPh sb="3" eb="6">
      <t>ミヤザキケン</t>
    </rPh>
    <rPh sb="6" eb="7">
      <t>ニシ</t>
    </rPh>
    <rPh sb="7" eb="8">
      <t>ミヤコ</t>
    </rPh>
    <rPh sb="8" eb="9">
      <t>シ</t>
    </rPh>
    <phoneticPr fontId="1"/>
  </si>
  <si>
    <t>府中（広島県府中市）</t>
    <rPh sb="0" eb="2">
      <t>フチュウ</t>
    </rPh>
    <rPh sb="3" eb="6">
      <t>ヒロシマケン</t>
    </rPh>
    <rPh sb="6" eb="9">
      <t>フチュウシ</t>
    </rPh>
    <phoneticPr fontId="1"/>
  </si>
  <si>
    <t>高知（高知県高知市）</t>
    <rPh sb="0" eb="2">
      <t>コウチ</t>
    </rPh>
    <rPh sb="6" eb="8">
      <t>コウチ</t>
    </rPh>
    <phoneticPr fontId="1"/>
  </si>
  <si>
    <t>準暖房室の温湿度（2022年9月までの基準）</t>
    <rPh sb="0" eb="1">
      <t>ジュン</t>
    </rPh>
    <rPh sb="1" eb="4">
      <t>ダンボウシツ</t>
    </rPh>
    <rPh sb="5" eb="8">
      <t>オンシツド</t>
    </rPh>
    <rPh sb="13" eb="14">
      <t>ネン</t>
    </rPh>
    <rPh sb="15" eb="16">
      <t>ガツ</t>
    </rPh>
    <rPh sb="19" eb="21">
      <t>キジュン</t>
    </rPh>
    <phoneticPr fontId="1"/>
  </si>
  <si>
    <t>日本アクア</t>
    <rPh sb="0" eb="2">
      <t>ニホン</t>
    </rPh>
    <phoneticPr fontId="1"/>
  </si>
  <si>
    <t>日本アクア、透湿比抵抗は吹付け硬質ウレタA種３と同等と推計</t>
    <rPh sb="6" eb="8">
      <t>トウシツ</t>
    </rPh>
    <rPh sb="8" eb="9">
      <t>ヒ</t>
    </rPh>
    <rPh sb="9" eb="11">
      <t>テイコウ</t>
    </rPh>
    <rPh sb="24" eb="26">
      <t>ドウトウ</t>
    </rPh>
    <rPh sb="27" eb="29">
      <t>スイケイ</t>
    </rPh>
    <phoneticPr fontId="1"/>
  </si>
  <si>
    <t>スマートパワー</t>
    <phoneticPr fontId="1"/>
  </si>
  <si>
    <t>アイティエヌジャパン</t>
    <phoneticPr fontId="1"/>
  </si>
  <si>
    <t>エンデバーハウス</t>
    <phoneticPr fontId="1"/>
  </si>
  <si>
    <t>ウッドファイバー（マット）</t>
    <phoneticPr fontId="1"/>
  </si>
  <si>
    <t>独自に想定（屋根と同等）</t>
    <rPh sb="0" eb="2">
      <t>ドクジ</t>
    </rPh>
    <rPh sb="3" eb="5">
      <t>ソウテイ</t>
    </rPh>
    <rPh sb="6" eb="8">
      <t>ヤネ</t>
    </rPh>
    <rPh sb="9" eb="11">
      <t>ドウトウ</t>
    </rPh>
    <phoneticPr fontId="1"/>
  </si>
  <si>
    <t>独自に想定（外壁のエンタルピーと同等）</t>
    <rPh sb="0" eb="2">
      <t>ドクジ</t>
    </rPh>
    <rPh sb="3" eb="5">
      <t>ソウテイ</t>
    </rPh>
    <rPh sb="6" eb="8">
      <t>ガイヘキ</t>
    </rPh>
    <rPh sb="16" eb="18">
      <t>ドウトウ</t>
    </rPh>
    <phoneticPr fontId="1"/>
  </si>
  <si>
    <t>ネオマゼウス</t>
    <phoneticPr fontId="1"/>
  </si>
  <si>
    <t>旭化成建材</t>
    <rPh sb="0" eb="3">
      <t>アサヒカセイ</t>
    </rPh>
    <rPh sb="3" eb="5">
      <t>ケンザイ</t>
    </rPh>
    <phoneticPr fontId="1"/>
  </si>
  <si>
    <t>NODA</t>
    <phoneticPr fontId="1"/>
  </si>
  <si>
    <t>日本ノボパン工業</t>
    <phoneticPr fontId="1"/>
  </si>
  <si>
    <t>鳥取CLT</t>
    <phoneticPr fontId="1"/>
  </si>
  <si>
    <t>マグ・イソベ―ル</t>
    <phoneticPr fontId="1"/>
  </si>
  <si>
    <t>通気くん(30mm)</t>
    <rPh sb="0" eb="2">
      <t>ツウキ</t>
    </rPh>
    <phoneticPr fontId="1"/>
  </si>
  <si>
    <r>
      <t>フォームライトSL50</t>
    </r>
    <r>
      <rPr>
        <sz val="10"/>
        <rFont val="Calibri"/>
        <family val="3"/>
        <charset val="161"/>
      </rPr>
      <t>α</t>
    </r>
    <r>
      <rPr>
        <sz val="10"/>
        <rFont val="BIZ UDPゴシック"/>
        <family val="3"/>
        <charset val="128"/>
      </rPr>
      <t>（現場発泡）</t>
    </r>
    <rPh sb="13" eb="15">
      <t>ゲンバ</t>
    </rPh>
    <rPh sb="15" eb="17">
      <t>ハッポウ</t>
    </rPh>
    <phoneticPr fontId="1"/>
  </si>
  <si>
    <t>アクアフォーム（現場発泡）</t>
    <rPh sb="8" eb="10">
      <t>ゲンバ</t>
    </rPh>
    <rPh sb="10" eb="12">
      <t>ハッポウ</t>
    </rPh>
    <phoneticPr fontId="1"/>
  </si>
  <si>
    <t>アクアフォームneo（現場発泡）</t>
    <rPh sb="11" eb="13">
      <t>ゲンバ</t>
    </rPh>
    <rPh sb="13" eb="15">
      <t>ハッポウ</t>
    </rPh>
    <phoneticPr fontId="1"/>
  </si>
  <si>
    <t>アイシネン</t>
    <phoneticPr fontId="1"/>
  </si>
  <si>
    <t>アイシネン（現場発泡）</t>
    <phoneticPr fontId="1"/>
  </si>
  <si>
    <t>BASF INOAC ポリウレタン</t>
    <phoneticPr fontId="1"/>
  </si>
  <si>
    <t>デュポン・スタイロ</t>
    <phoneticPr fontId="1"/>
  </si>
  <si>
    <t>イソベ―ルスタンダード16kg（防湿層付き）</t>
    <rPh sb="16" eb="19">
      <t>ボウシツソウ</t>
    </rPh>
    <rPh sb="19" eb="20">
      <t>ツ</t>
    </rPh>
    <phoneticPr fontId="1"/>
  </si>
  <si>
    <t>ポリカットR2.2（防湿層付き）</t>
    <phoneticPr fontId="1"/>
  </si>
  <si>
    <t>イソベ―ルスタンダード24kg（防湿層付き）</t>
    <rPh sb="16" eb="19">
      <t>ボウシツソウ</t>
    </rPh>
    <rPh sb="19" eb="20">
      <t>ツ</t>
    </rPh>
    <phoneticPr fontId="1"/>
  </si>
  <si>
    <t>追加素材1</t>
    <rPh sb="0" eb="2">
      <t>ツイカ</t>
    </rPh>
    <rPh sb="2" eb="4">
      <t>ソザイ</t>
    </rPh>
    <phoneticPr fontId="1"/>
  </si>
  <si>
    <t>追加素材2</t>
    <rPh sb="0" eb="2">
      <t>ツイカ</t>
    </rPh>
    <rPh sb="2" eb="4">
      <t>ソザイ</t>
    </rPh>
    <phoneticPr fontId="1"/>
  </si>
  <si>
    <t>フクビ化学工業</t>
    <rPh sb="3" eb="5">
      <t>カガク</t>
    </rPh>
    <rPh sb="5" eb="7">
      <t>コウギョウ</t>
    </rPh>
    <phoneticPr fontId="1"/>
  </si>
  <si>
    <t>チヨダウーテ</t>
    <phoneticPr fontId="1"/>
  </si>
  <si>
    <t>タイガーEXハイパー（耐力せっこうボード）</t>
    <rPh sb="11" eb="13">
      <t>タイリョク</t>
    </rPh>
    <phoneticPr fontId="1"/>
  </si>
  <si>
    <t>タイガーEXボード（耐力せっこうボード）</t>
    <rPh sb="10" eb="12">
      <t>タイリョク</t>
    </rPh>
    <phoneticPr fontId="1"/>
  </si>
  <si>
    <t>タイガー防湿ボード（防湿せっこうボード）</t>
    <rPh sb="4" eb="6">
      <t>ボウシツ</t>
    </rPh>
    <rPh sb="10" eb="12">
      <t>ボウシツ</t>
    </rPh>
    <phoneticPr fontId="1"/>
  </si>
  <si>
    <t>大建工業</t>
    <rPh sb="0" eb="2">
      <t>ダイケン</t>
    </rPh>
    <rPh sb="2" eb="4">
      <t>コウギョウ</t>
    </rPh>
    <phoneticPr fontId="1"/>
  </si>
  <si>
    <t>ハイベストウッド（MDF）</t>
    <phoneticPr fontId="1"/>
  </si>
  <si>
    <t>ノボパンSTPⅡ（パーティクルボード）</t>
    <phoneticPr fontId="1"/>
  </si>
  <si>
    <r>
      <t>cm</t>
    </r>
    <r>
      <rPr>
        <vertAlign val="superscript"/>
        <sz val="8"/>
        <rFont val="BIZ UDPゴシック"/>
        <family val="3"/>
        <charset val="128"/>
      </rPr>
      <t>2</t>
    </r>
    <r>
      <rPr>
        <sz val="8"/>
        <rFont val="BIZ UDPゴシック"/>
        <family val="3"/>
        <charset val="128"/>
      </rPr>
      <t>/s*</t>
    </r>
    <r>
      <rPr>
        <sz val="8"/>
        <rFont val="Segoe UI Symbol"/>
        <family val="3"/>
      </rPr>
      <t>✕</t>
    </r>
    <r>
      <rPr>
        <sz val="8"/>
        <rFont val="BIZ UDPゴシック"/>
        <family val="3"/>
        <charset val="128"/>
      </rPr>
      <t>10</t>
    </r>
    <r>
      <rPr>
        <vertAlign val="superscript"/>
        <sz val="8"/>
        <rFont val="BIZ UDPゴシック"/>
        <family val="3"/>
        <charset val="128"/>
      </rPr>
      <t>-3</t>
    </r>
    <phoneticPr fontId="1"/>
  </si>
  <si>
    <r>
      <t>J/s</t>
    </r>
    <r>
      <rPr>
        <vertAlign val="superscript"/>
        <sz val="8"/>
        <rFont val="BIZ UDPゴシック"/>
        <family val="3"/>
        <charset val="128"/>
      </rPr>
      <t>0.5</t>
    </r>
    <r>
      <rPr>
        <sz val="8"/>
        <rFont val="BIZ UDPゴシック"/>
        <family val="3"/>
        <charset val="128"/>
      </rPr>
      <t>m</t>
    </r>
    <r>
      <rPr>
        <vertAlign val="superscript"/>
        <sz val="8"/>
        <rFont val="BIZ UDPゴシック"/>
        <family val="3"/>
        <charset val="128"/>
      </rPr>
      <t>2</t>
    </r>
    <r>
      <rPr>
        <sz val="8"/>
        <rFont val="BIZ UDPゴシック"/>
        <family val="3"/>
        <charset val="128"/>
      </rPr>
      <t>K</t>
    </r>
    <phoneticPr fontId="1"/>
  </si>
  <si>
    <r>
      <t>kg/m</t>
    </r>
    <r>
      <rPr>
        <vertAlign val="superscript"/>
        <sz val="10"/>
        <rFont val="BIZ UDPゴシック"/>
        <family val="3"/>
        <charset val="128"/>
      </rPr>
      <t>3</t>
    </r>
    <phoneticPr fontId="1"/>
  </si>
  <si>
    <r>
      <t>kJ/ｍ</t>
    </r>
    <r>
      <rPr>
        <vertAlign val="superscript"/>
        <sz val="10"/>
        <rFont val="BIZ UDPゴシック"/>
        <family val="3"/>
        <charset val="128"/>
      </rPr>
      <t>3</t>
    </r>
    <r>
      <rPr>
        <sz val="10"/>
        <rFont val="BIZ UDPゴシック"/>
        <family val="3"/>
        <charset val="128"/>
      </rPr>
      <t>K</t>
    </r>
    <phoneticPr fontId="1"/>
  </si>
  <si>
    <t>msPa/ng</t>
    <phoneticPr fontId="1"/>
  </si>
  <si>
    <t>mhmmHg/g</t>
    <phoneticPr fontId="1"/>
  </si>
  <si>
    <r>
      <t>m</t>
    </r>
    <r>
      <rPr>
        <vertAlign val="superscript"/>
        <sz val="10"/>
        <rFont val="BIZ UDPゴシック"/>
        <family val="3"/>
        <charset val="128"/>
      </rPr>
      <t>2</t>
    </r>
    <r>
      <rPr>
        <sz val="10"/>
        <rFont val="BIZ UDPゴシック"/>
        <family val="3"/>
        <charset val="128"/>
      </rPr>
      <t>K/W</t>
    </r>
    <phoneticPr fontId="1"/>
  </si>
  <si>
    <r>
      <t>m</t>
    </r>
    <r>
      <rPr>
        <vertAlign val="superscript"/>
        <sz val="10"/>
        <rFont val="BIZ UDPゴシック"/>
        <family val="3"/>
        <charset val="128"/>
      </rPr>
      <t>2</t>
    </r>
    <r>
      <rPr>
        <sz val="10"/>
        <rFont val="BIZ UDPゴシック"/>
        <family val="3"/>
        <charset val="128"/>
      </rPr>
      <t>sPa/ng</t>
    </r>
    <phoneticPr fontId="1"/>
  </si>
  <si>
    <r>
      <t>m</t>
    </r>
    <r>
      <rPr>
        <vertAlign val="superscript"/>
        <sz val="10"/>
        <rFont val="BIZ UDPゴシック"/>
        <family val="3"/>
        <charset val="128"/>
      </rPr>
      <t>2</t>
    </r>
    <r>
      <rPr>
        <sz val="10"/>
        <rFont val="BIZ UDPゴシック"/>
        <family val="3"/>
        <charset val="128"/>
      </rPr>
      <t>hmmHg/g</t>
    </r>
    <phoneticPr fontId="1"/>
  </si>
  <si>
    <t>ウートップSDヴァリオ ツヴァイ（防湿時）</t>
    <rPh sb="17" eb="20">
      <t>ボウシツジ</t>
    </rPh>
    <phoneticPr fontId="1"/>
  </si>
  <si>
    <t>ウートップSDヴァリオ ツヴァイ（透湿時）</t>
    <rPh sb="17" eb="19">
      <t>トウシツ</t>
    </rPh>
    <rPh sb="19" eb="20">
      <t>ジ</t>
    </rPh>
    <phoneticPr fontId="1"/>
  </si>
  <si>
    <t>ウートップ サーモヴァリオSD（防湿時）</t>
    <rPh sb="16" eb="19">
      <t>ボウシツジ</t>
    </rPh>
    <phoneticPr fontId="1"/>
  </si>
  <si>
    <t>ウートップ サーモヴァリオSD（透湿時）</t>
    <rPh sb="16" eb="18">
      <t>トウシツ</t>
    </rPh>
    <rPh sb="18" eb="19">
      <t>ジ</t>
    </rPh>
    <phoneticPr fontId="1"/>
  </si>
  <si>
    <t>ウートップ ハイムシールド</t>
    <phoneticPr fontId="1"/>
  </si>
  <si>
    <t>ウルト社　透湿防水シート</t>
    <rPh sb="3" eb="4">
      <t>シャ</t>
    </rPh>
    <rPh sb="5" eb="7">
      <t>トウシツ</t>
    </rPh>
    <rPh sb="7" eb="9">
      <t>ボウスイ</t>
    </rPh>
    <phoneticPr fontId="1"/>
  </si>
  <si>
    <t>ウートップ ハイムシールド ルーフ2SK</t>
    <phoneticPr fontId="1"/>
  </si>
  <si>
    <t>ウルト社　透湿防水ルーフィングシート</t>
    <rPh sb="3" eb="4">
      <t>シャ</t>
    </rPh>
    <rPh sb="5" eb="7">
      <t>トウシツ</t>
    </rPh>
    <rPh sb="7" eb="9">
      <t>ボウスイ</t>
    </rPh>
    <phoneticPr fontId="1"/>
  </si>
  <si>
    <t>熱貫流量</t>
    <rPh sb="0" eb="4">
      <t>ネツカンリュウリョウ</t>
    </rPh>
    <phoneticPr fontId="1"/>
  </si>
  <si>
    <t>湿気貫流量</t>
    <rPh sb="0" eb="2">
      <t>シッケ</t>
    </rPh>
    <rPh sb="2" eb="5">
      <t>カンリュウリョウ</t>
    </rPh>
    <phoneticPr fontId="1"/>
  </si>
  <si>
    <t>湿気貫流抵抗　R'値</t>
    <rPh sb="0" eb="2">
      <t>シッケ</t>
    </rPh>
    <rPh sb="2" eb="4">
      <t>カンリュウ</t>
    </rPh>
    <rPh sb="4" eb="6">
      <t>テイコウ</t>
    </rPh>
    <phoneticPr fontId="1"/>
  </si>
  <si>
    <t>湿気貫流率　U'値</t>
    <rPh sb="0" eb="2">
      <t>シッキ</t>
    </rPh>
    <rPh sb="2" eb="4">
      <t>カンリュウ</t>
    </rPh>
    <rPh sb="4" eb="5">
      <t>リツ</t>
    </rPh>
    <phoneticPr fontId="1"/>
  </si>
  <si>
    <t>水蒸気圧差</t>
    <rPh sb="0" eb="4">
      <t>スイジョウキアツ</t>
    </rPh>
    <rPh sb="4" eb="5">
      <t>サ</t>
    </rPh>
    <phoneticPr fontId="1"/>
  </si>
  <si>
    <r>
      <t>g/m</t>
    </r>
    <r>
      <rPr>
        <vertAlign val="superscript"/>
        <sz val="10"/>
        <rFont val="BIZ UDPゴシック"/>
        <family val="3"/>
        <charset val="128"/>
      </rPr>
      <t>2</t>
    </r>
    <r>
      <rPr>
        <sz val="10"/>
        <rFont val="BIZ UDPゴシック"/>
        <family val="3"/>
        <charset val="128"/>
      </rPr>
      <t>h</t>
    </r>
    <phoneticPr fontId="1"/>
  </si>
  <si>
    <r>
      <t>kJ/m</t>
    </r>
    <r>
      <rPr>
        <vertAlign val="superscript"/>
        <sz val="10"/>
        <rFont val="BIZ UDPゴシック"/>
        <family val="3"/>
        <charset val="128"/>
      </rPr>
      <t>2</t>
    </r>
    <r>
      <rPr>
        <sz val="10"/>
        <rFont val="BIZ UDPゴシック"/>
        <family val="3"/>
        <charset val="128"/>
      </rPr>
      <t>h</t>
    </r>
    <phoneticPr fontId="1"/>
  </si>
  <si>
    <r>
      <t>kJ/m</t>
    </r>
    <r>
      <rPr>
        <vertAlign val="superscript"/>
        <sz val="10"/>
        <rFont val="BIZ UDPゴシック"/>
        <family val="3"/>
        <charset val="128"/>
      </rPr>
      <t>2</t>
    </r>
    <r>
      <rPr>
        <sz val="10"/>
        <rFont val="BIZ UDPゴシック"/>
        <family val="3"/>
        <charset val="128"/>
      </rPr>
      <t>日</t>
    </r>
    <rPh sb="5" eb="6">
      <t>ビ</t>
    </rPh>
    <phoneticPr fontId="1"/>
  </si>
  <si>
    <r>
      <t>g/m</t>
    </r>
    <r>
      <rPr>
        <vertAlign val="superscript"/>
        <sz val="10"/>
        <rFont val="BIZ UDPゴシック"/>
        <family val="3"/>
        <charset val="128"/>
      </rPr>
      <t>2</t>
    </r>
    <r>
      <rPr>
        <sz val="10"/>
        <rFont val="BIZ UDPゴシック"/>
        <family val="3"/>
        <charset val="128"/>
      </rPr>
      <t>日</t>
    </r>
    <rPh sb="4" eb="5">
      <t>ニチ</t>
    </rPh>
    <phoneticPr fontId="1"/>
  </si>
  <si>
    <r>
      <t>U=1/</t>
    </r>
    <r>
      <rPr>
        <sz val="8"/>
        <rFont val="Calibri"/>
        <family val="3"/>
        <charset val="161"/>
      </rPr>
      <t>Σ</t>
    </r>
    <r>
      <rPr>
        <sz val="8"/>
        <rFont val="BIZ UDPゴシック"/>
        <family val="3"/>
        <charset val="128"/>
      </rPr>
      <t>R</t>
    </r>
    <phoneticPr fontId="1"/>
  </si>
  <si>
    <r>
      <rPr>
        <sz val="8"/>
        <rFont val="BIZ UDPゴシック"/>
        <family val="3"/>
        <charset val="128"/>
      </rPr>
      <t>R=</t>
    </r>
    <r>
      <rPr>
        <sz val="8"/>
        <rFont val="Calibri"/>
        <family val="3"/>
        <charset val="161"/>
      </rPr>
      <t>Σ</t>
    </r>
    <r>
      <rPr>
        <sz val="8"/>
        <rFont val="BIZ UDPゴシック"/>
        <family val="3"/>
        <charset val="128"/>
      </rPr>
      <t>(d/</t>
    </r>
    <r>
      <rPr>
        <sz val="8"/>
        <rFont val="Calibri"/>
        <family val="3"/>
        <charset val="161"/>
      </rPr>
      <t>λ</t>
    </r>
    <r>
      <rPr>
        <sz val="8"/>
        <rFont val="BIZ UDPゴシック"/>
        <family val="3"/>
        <charset val="128"/>
      </rPr>
      <t>)</t>
    </r>
    <phoneticPr fontId="1"/>
  </si>
  <si>
    <t>空気（23℃）</t>
    <rPh sb="0" eb="2">
      <t>クウキ</t>
    </rPh>
    <phoneticPr fontId="1"/>
  </si>
  <si>
    <t>マグ・イゾベール 可変透湿シート</t>
    <phoneticPr fontId="1"/>
  </si>
  <si>
    <t>セーレン 可変透湿シート</t>
    <phoneticPr fontId="1"/>
  </si>
  <si>
    <t>旭・デュポン 可変透湿シート</t>
    <phoneticPr fontId="1"/>
  </si>
  <si>
    <t>酒井化学工業 可変透湿シート</t>
    <rPh sb="0" eb="2">
      <t>サカイ</t>
    </rPh>
    <rPh sb="2" eb="4">
      <t>カガク</t>
    </rPh>
    <rPh sb="4" eb="6">
      <t>コウギョウ</t>
    </rPh>
    <phoneticPr fontId="1"/>
  </si>
  <si>
    <t>酒井化学工業 可変透湿シート</t>
    <phoneticPr fontId="1"/>
  </si>
  <si>
    <t>エコ・トランスファー 可変透湿シート</t>
    <phoneticPr fontId="1"/>
  </si>
  <si>
    <t>ナータッグ 可変透湿シート</t>
    <phoneticPr fontId="1"/>
  </si>
  <si>
    <t>ウルト 可変透湿シート</t>
    <rPh sb="4" eb="6">
      <t>カヘン</t>
    </rPh>
    <rPh sb="6" eb="8">
      <t>トウシツ</t>
    </rPh>
    <phoneticPr fontId="1"/>
  </si>
  <si>
    <t>マグ・イゾベ―ル</t>
    <phoneticPr fontId="1"/>
  </si>
  <si>
    <t>旭・デュポン</t>
    <phoneticPr fontId="1"/>
  </si>
  <si>
    <t>ヴァリオエクストラセーフ冬(23℃外16％-内50％)</t>
    <rPh sb="12" eb="13">
      <t>フユ</t>
    </rPh>
    <rPh sb="17" eb="18">
      <t>ソト</t>
    </rPh>
    <rPh sb="22" eb="23">
      <t>ウチ</t>
    </rPh>
    <phoneticPr fontId="1"/>
  </si>
  <si>
    <t>ヴァリオエクストラ冬(23℃外16％-内50％)</t>
    <rPh sb="9" eb="10">
      <t>フユ</t>
    </rPh>
    <phoneticPr fontId="1"/>
  </si>
  <si>
    <t>ミストガード冬推測値(23℃外16％-内50％)</t>
    <rPh sb="6" eb="7">
      <t>フユ</t>
    </rPh>
    <rPh sb="7" eb="10">
      <t>スイソクチ</t>
    </rPh>
    <phoneticPr fontId="1"/>
  </si>
  <si>
    <t>VCLスマート冬(23℃外16％-内50％)</t>
    <rPh sb="7" eb="8">
      <t>フユ</t>
    </rPh>
    <phoneticPr fontId="1"/>
  </si>
  <si>
    <t>すかっとシートプレミアム冬(23℃外16％-内50％)</t>
    <rPh sb="12" eb="13">
      <t>フユ</t>
    </rPh>
    <phoneticPr fontId="1"/>
  </si>
  <si>
    <t>インテロ冬(23℃外16％-内50％)</t>
    <rPh sb="4" eb="5">
      <t>フユ</t>
    </rPh>
    <phoneticPr fontId="1"/>
  </si>
  <si>
    <t>メンブレン冬推測(23℃外16％-内50％)</t>
    <rPh sb="5" eb="6">
      <t>フユ</t>
    </rPh>
    <rPh sb="6" eb="8">
      <t>スイソク</t>
    </rPh>
    <phoneticPr fontId="1"/>
  </si>
  <si>
    <t>素材データシート　（2025/11/25）</t>
    <phoneticPr fontId="1"/>
  </si>
  <si>
    <t>ヴァリオエクストラセーフ夏(23℃内50％-外100％)</t>
    <rPh sb="12" eb="13">
      <t>ナツ</t>
    </rPh>
    <rPh sb="17" eb="18">
      <t>ウチ</t>
    </rPh>
    <rPh sb="22" eb="23">
      <t>ソト</t>
    </rPh>
    <phoneticPr fontId="1"/>
  </si>
  <si>
    <t>ヴァリオエクストラ夏(23℃内50％-外100％)</t>
    <rPh sb="9" eb="10">
      <t>ナツ</t>
    </rPh>
    <phoneticPr fontId="1"/>
  </si>
  <si>
    <t>ミストガード夏(23℃内50％-外100％)</t>
    <rPh sb="6" eb="7">
      <t>ナツ</t>
    </rPh>
    <phoneticPr fontId="1"/>
  </si>
  <si>
    <t>VCLスマート夏(23℃内50％-外100％)</t>
    <rPh sb="7" eb="8">
      <t>ナツ</t>
    </rPh>
    <phoneticPr fontId="1"/>
  </si>
  <si>
    <t>すかっとシートプレミアム夏推測(23℃内50％-外100％)</t>
    <rPh sb="12" eb="13">
      <t>ナツ</t>
    </rPh>
    <rPh sb="13" eb="15">
      <t>スイソク</t>
    </rPh>
    <phoneticPr fontId="1"/>
  </si>
  <si>
    <t>インテロ夏(23℃内50％-外100％)</t>
    <rPh sb="4" eb="5">
      <t>ナツ</t>
    </rPh>
    <phoneticPr fontId="1"/>
  </si>
  <si>
    <t>メンブレン夏(23℃内50％-外100％)</t>
    <rPh sb="5" eb="6">
      <t>ナツ</t>
    </rPh>
    <phoneticPr fontId="1"/>
  </si>
  <si>
    <t>本ツールは「環境デザインサポートツールede」から結露計算ツールのみ抜粋したものです。</t>
    <rPh sb="0" eb="1">
      <t>ホン</t>
    </rPh>
    <rPh sb="6" eb="8">
      <t>カンキョウ</t>
    </rPh>
    <rPh sb="25" eb="27">
      <t>ケツロ</t>
    </rPh>
    <rPh sb="27" eb="29">
      <t>ケイサン</t>
    </rPh>
    <rPh sb="34" eb="36">
      <t>バッスイ</t>
    </rPh>
    <phoneticPr fontId="1"/>
  </si>
  <si>
    <t>外皮計算や室温予測が可能な「環境デザインサポートツールede」本体は、各種セミナーや「ぜんぶ絵でわかる7エコハウス（エクスナレッジ）」の付録で入手できます。</t>
    <rPh sb="0" eb="2">
      <t>ガイヒ</t>
    </rPh>
    <rPh sb="2" eb="4">
      <t>ケイサン</t>
    </rPh>
    <rPh sb="5" eb="9">
      <t>シツオンヨソク</t>
    </rPh>
    <rPh sb="10" eb="12">
      <t>カノウ</t>
    </rPh>
    <rPh sb="14" eb="16">
      <t>カンキョウ</t>
    </rPh>
    <rPh sb="31" eb="33">
      <t>ホンタイ</t>
    </rPh>
    <rPh sb="35" eb="37">
      <t>カクシュ</t>
    </rPh>
    <rPh sb="46" eb="47">
      <t>エ</t>
    </rPh>
    <rPh sb="68" eb="70">
      <t>フロク</t>
    </rPh>
    <rPh sb="71" eb="73">
      <t>ニュウシュ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</si>
</sst>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0.00_);[Red]\(0.00\)"/>
    <numFmt numFmtId="177" formatCode="0.00_ ;[Red]\-0.00\ "/>
    <numFmt numFmtId="178" formatCode="0.000_);[Red]\(0.000\)"/>
    <numFmt numFmtId="179" formatCode="0.0_ ;[Red]\-0.0\ "/>
    <numFmt numFmtId="180" formatCode="0.00_ "/>
    <numFmt numFmtId="181" formatCode="0.000_ "/>
    <numFmt numFmtId="182" formatCode="0.0_ &quot;%&quot;"/>
    <numFmt numFmtId="183" formatCode="0.000_ ;[Red]\-0.000\ "/>
    <numFmt numFmtId="184" formatCode="0.000_ &quot;W/㎡･K&quot;"/>
    <numFmt numFmtId="185" formatCode="0.000_ &quot;㎡･K/W&quot;"/>
    <numFmt numFmtId="186" formatCode="0.0_ "/>
    <numFmt numFmtId="187" formatCode="#,##0_);[Red]\(#,##0\)"/>
    <numFmt numFmtId="188" formatCode="#,##0.00_);[Red]\(#,##0.00\)"/>
    <numFmt numFmtId="189" formatCode="#,##0_ "/>
    <numFmt numFmtId="190" formatCode="0_);[Red]\(0\)"/>
    <numFmt numFmtId="191" formatCode="#,##0.0_);[Red]\(#,##0.0\)"/>
    <numFmt numFmtId="192" formatCode="0.0%"/>
    <numFmt numFmtId="193" formatCode="0.00000_);[Red]\(0.00000\)"/>
    <numFmt numFmtId="194" formatCode="#,##0.00_ ;[Red]\-#,##0.00\ "/>
    <numFmt numFmtId="195" formatCode="0.0_ &quot;℃&quot;"/>
    <numFmt numFmtId="196" formatCode="0.00_ &quot;Pa&quot;"/>
    <numFmt numFmtId="197" formatCode="0.00000_ ;[Red]\-0.00000\ "/>
    <numFmt numFmtId="198" formatCode="0_ &quot;:1&quot;"/>
    <numFmt numFmtId="199" formatCode="0.000_ &quot;㎡K/W&quot;"/>
    <numFmt numFmtId="200" formatCode="0.000_ &quot;W/㎡K&quot;"/>
    <numFmt numFmtId="201" formatCode="0.000_ &quot;㎡･s･Pa/ng&quot;"/>
    <numFmt numFmtId="202" formatCode="0.000_ &quot;ng/㎡･s･Pa&quot;"/>
    <numFmt numFmtId="203" formatCode="0.0_ &quot;K&quot;"/>
    <numFmt numFmtId="204" formatCode="0.0_ &quot;Pa&quot;"/>
  </numFmts>
  <fonts count="22" x14ac:knownFonts="1">
    <font>
      <sz val="11"/>
      <name val="ＭＳ Ｐゴシック"/>
      <family val="3"/>
      <charset val="128"/>
    </font>
    <font>
      <sz val="6"/>
      <name val="ＭＳ Ｐゴシック"/>
      <family val="3"/>
      <charset val="128"/>
    </font>
    <font>
      <u/>
      <sz val="11"/>
      <color theme="10"/>
      <name val="ＭＳ Ｐゴシック"/>
      <family val="3"/>
      <charset val="128"/>
    </font>
    <font>
      <u/>
      <sz val="11"/>
      <color theme="10"/>
      <name val="BIZ UDPゴシック"/>
      <family val="3"/>
      <charset val="128"/>
    </font>
    <font>
      <sz val="11"/>
      <name val="BIZ UDPゴシック"/>
      <family val="3"/>
      <charset val="128"/>
    </font>
    <font>
      <sz val="8"/>
      <name val="BIZ UDPゴシック"/>
      <family val="3"/>
      <charset val="128"/>
    </font>
    <font>
      <sz val="10"/>
      <name val="BIZ UDPゴシック"/>
      <family val="3"/>
      <charset val="128"/>
    </font>
    <font>
      <sz val="10"/>
      <color theme="0" tint="-0.499984740745262"/>
      <name val="BIZ UDPゴシック"/>
      <family val="3"/>
      <charset val="128"/>
    </font>
    <font>
      <sz val="8"/>
      <color theme="0" tint="-0.499984740745262"/>
      <name val="BIZ UDPゴシック"/>
      <family val="3"/>
      <charset val="128"/>
    </font>
    <font>
      <sz val="6"/>
      <color theme="0" tint="-0.34998626667073579"/>
      <name val="BIZ UDPゴシック"/>
      <family val="3"/>
      <charset val="128"/>
    </font>
    <font>
      <sz val="9"/>
      <name val="BIZ UDPゴシック"/>
      <family val="3"/>
      <charset val="128"/>
    </font>
    <font>
      <sz val="12"/>
      <name val="BIZ UDPゴシック"/>
      <family val="3"/>
      <charset val="128"/>
    </font>
    <font>
      <vertAlign val="superscript"/>
      <sz val="10"/>
      <name val="BIZ UDPゴシック"/>
      <family val="3"/>
      <charset val="128"/>
    </font>
    <font>
      <sz val="11"/>
      <color theme="0" tint="-0.499984740745262"/>
      <name val="BIZ UDPゴシック"/>
      <family val="3"/>
      <charset val="128"/>
    </font>
    <font>
      <sz val="10"/>
      <color theme="0"/>
      <name val="BIZ UDPゴシック"/>
      <family val="3"/>
      <charset val="128"/>
    </font>
    <font>
      <sz val="10"/>
      <color indexed="18"/>
      <name val="BIZ UDPゴシック"/>
      <family val="3"/>
      <charset val="128"/>
    </font>
    <font>
      <sz val="10"/>
      <color indexed="10"/>
      <name val="BIZ UDPゴシック"/>
      <family val="3"/>
      <charset val="128"/>
    </font>
    <font>
      <sz val="11"/>
      <color indexed="9"/>
      <name val="BIZ UDPゴシック"/>
      <family val="3"/>
      <charset val="128"/>
    </font>
    <font>
      <sz val="10"/>
      <name val="Calibri"/>
      <family val="3"/>
      <charset val="161"/>
    </font>
    <font>
      <sz val="8"/>
      <name val="Calibri"/>
      <family val="3"/>
      <charset val="161"/>
    </font>
    <font>
      <vertAlign val="superscript"/>
      <sz val="8"/>
      <name val="BIZ UDPゴシック"/>
      <family val="3"/>
      <charset val="128"/>
    </font>
    <font>
      <sz val="8"/>
      <name val="Segoe UI Symbol"/>
      <family val="3"/>
    </font>
  </fonts>
  <fills count="11">
    <fill>
      <patternFill patternType="none"/>
    </fill>
    <fill>
      <patternFill patternType="gray125"/>
    </fill>
    <fill>
      <patternFill patternType="solid">
        <fgColor indexed="60"/>
        <bgColor indexed="64"/>
      </patternFill>
    </fill>
    <fill>
      <patternFill patternType="solid">
        <fgColor indexed="46"/>
        <bgColor indexed="64"/>
      </patternFill>
    </fill>
    <fill>
      <patternFill patternType="solid">
        <fgColor indexed="41"/>
        <bgColor indexed="64"/>
      </patternFill>
    </fill>
    <fill>
      <patternFill patternType="solid">
        <fgColor indexed="23"/>
        <bgColor indexed="64"/>
      </patternFill>
    </fill>
    <fill>
      <patternFill patternType="solid">
        <fgColor indexed="5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137">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style="hair">
        <color indexed="64"/>
      </bottom>
      <diagonal/>
    </border>
    <border>
      <left style="double">
        <color indexed="64"/>
      </left>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right style="hair">
        <color indexed="64"/>
      </right>
      <top/>
      <bottom style="hair">
        <color indexed="64"/>
      </bottom>
      <diagonal/>
    </border>
    <border>
      <left style="double">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double">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double">
        <color indexed="64"/>
      </right>
      <top/>
      <bottom style="double">
        <color indexed="64"/>
      </bottom>
      <diagonal/>
    </border>
    <border>
      <left style="thin">
        <color indexed="64"/>
      </left>
      <right style="hair">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diagonal/>
    </border>
    <border>
      <left/>
      <right style="hair">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style="medium">
        <color indexed="64"/>
      </left>
      <right style="hair">
        <color indexed="64"/>
      </right>
      <top style="thin">
        <color indexed="64"/>
      </top>
      <bottom/>
      <diagonal/>
    </border>
    <border>
      <left style="double">
        <color indexed="64"/>
      </left>
      <right/>
      <top style="thin">
        <color indexed="64"/>
      </top>
      <bottom/>
      <diagonal/>
    </border>
    <border>
      <left style="thin">
        <color indexed="64"/>
      </left>
      <right style="hair">
        <color indexed="64"/>
      </right>
      <top/>
      <bottom style="double">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thin">
        <color indexed="64"/>
      </right>
      <top/>
      <bottom style="hair">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double">
        <color indexed="64"/>
      </bottom>
      <diagonal/>
    </border>
    <border>
      <left style="double">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auto="1"/>
      </left>
      <right style="hair">
        <color indexed="64"/>
      </right>
      <top style="thin">
        <color auto="1"/>
      </top>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21">
    <xf numFmtId="0" fontId="0" fillId="0" borderId="0" xfId="0">
      <alignment vertical="center"/>
    </xf>
    <xf numFmtId="0" fontId="3" fillId="0" borderId="0" xfId="1" applyFont="1" applyAlignment="1" applyProtection="1">
      <alignment horizontal="center" vertical="center"/>
      <protection hidden="1"/>
    </xf>
    <xf numFmtId="0" fontId="4" fillId="0" borderId="0" xfId="0" applyFont="1">
      <alignment vertical="center"/>
    </xf>
    <xf numFmtId="0" fontId="6" fillId="0" borderId="0" xfId="0" applyFont="1" applyProtection="1">
      <alignment vertical="center"/>
      <protection hidden="1"/>
    </xf>
    <xf numFmtId="0" fontId="6" fillId="9" borderId="17" xfId="0" applyFont="1" applyFill="1" applyBorder="1" applyAlignment="1" applyProtection="1">
      <alignment horizontal="center" vertical="center" shrinkToFit="1"/>
      <protection hidden="1"/>
    </xf>
    <xf numFmtId="178" fontId="6" fillId="0" borderId="0" xfId="0" applyNumberFormat="1" applyFont="1" applyAlignment="1" applyProtection="1">
      <alignment vertical="center" shrinkToFit="1"/>
      <protection hidden="1"/>
    </xf>
    <xf numFmtId="0" fontId="6" fillId="0" borderId="35" xfId="0" applyFont="1" applyBorder="1" applyProtection="1">
      <alignment vertical="center"/>
      <protection hidden="1"/>
    </xf>
    <xf numFmtId="178" fontId="6" fillId="0" borderId="0" xfId="0" applyNumberFormat="1" applyFont="1" applyProtection="1">
      <alignment vertical="center"/>
      <protection hidden="1"/>
    </xf>
    <xf numFmtId="0" fontId="6" fillId="0" borderId="40" xfId="0" applyFont="1" applyBorder="1" applyProtection="1">
      <alignment vertical="center"/>
      <protection hidden="1"/>
    </xf>
    <xf numFmtId="0" fontId="10" fillId="0" borderId="0" xfId="0" applyFont="1" applyAlignment="1" applyProtection="1">
      <alignment vertical="center" shrinkToFit="1"/>
      <protection hidden="1"/>
    </xf>
    <xf numFmtId="0" fontId="6" fillId="9" borderId="59" xfId="0" applyFont="1" applyFill="1" applyBorder="1" applyAlignment="1" applyProtection="1">
      <alignment horizontal="center" vertical="center" shrinkToFit="1"/>
      <protection hidden="1"/>
    </xf>
    <xf numFmtId="0" fontId="6" fillId="0" borderId="44" xfId="0" applyFont="1" applyBorder="1" applyProtection="1">
      <alignment vertical="center"/>
      <protection hidden="1"/>
    </xf>
    <xf numFmtId="0" fontId="6" fillId="0" borderId="41" xfId="0" applyFont="1" applyBorder="1" applyProtection="1">
      <alignment vertical="center"/>
      <protection hidden="1"/>
    </xf>
    <xf numFmtId="0" fontId="6" fillId="0" borderId="0" xfId="0" applyFont="1">
      <alignment vertical="center"/>
    </xf>
    <xf numFmtId="0" fontId="6" fillId="0" borderId="45" xfId="0" applyFont="1" applyBorder="1" applyAlignment="1">
      <alignment horizontal="center" vertical="center"/>
    </xf>
    <xf numFmtId="0" fontId="6" fillId="0" borderId="58" xfId="0" applyFont="1" applyBorder="1" applyAlignment="1">
      <alignment horizontal="center" vertical="center"/>
    </xf>
    <xf numFmtId="0" fontId="6" fillId="0" borderId="0" xfId="0" applyFont="1" applyAlignment="1">
      <alignment horizontal="center" vertical="center"/>
    </xf>
    <xf numFmtId="0" fontId="15" fillId="0" borderId="0" xfId="0" applyFont="1">
      <alignment vertical="center"/>
    </xf>
    <xf numFmtId="0" fontId="16" fillId="0" borderId="0" xfId="0" applyFont="1">
      <alignment vertical="center"/>
    </xf>
    <xf numFmtId="195" fontId="6" fillId="4" borderId="0" xfId="0" applyNumberFormat="1" applyFont="1" applyFill="1" applyAlignment="1" applyProtection="1">
      <alignment horizontal="center" vertical="center" shrinkToFit="1"/>
      <protection locked="0"/>
    </xf>
    <xf numFmtId="179" fontId="6" fillId="0" borderId="37" xfId="0" applyNumberFormat="1" applyFont="1" applyBorder="1" applyAlignment="1">
      <alignment horizontal="center" vertical="center"/>
    </xf>
    <xf numFmtId="0" fontId="6" fillId="9" borderId="7" xfId="0" applyFont="1" applyFill="1" applyBorder="1" applyAlignment="1">
      <alignment horizontal="center" vertical="center" shrinkToFit="1"/>
    </xf>
    <xf numFmtId="182" fontId="6" fillId="4" borderId="0" xfId="0" applyNumberFormat="1" applyFont="1" applyFill="1" applyAlignment="1" applyProtection="1">
      <alignment horizontal="center" vertical="center" shrinkToFit="1"/>
      <protection locked="0"/>
    </xf>
    <xf numFmtId="0" fontId="6" fillId="0" borderId="40" xfId="0" applyFont="1" applyBorder="1">
      <alignment vertical="center"/>
    </xf>
    <xf numFmtId="179" fontId="6" fillId="0" borderId="58" xfId="0" applyNumberFormat="1" applyFont="1" applyBorder="1" applyAlignment="1">
      <alignment horizontal="center" vertical="center"/>
    </xf>
    <xf numFmtId="0" fontId="6" fillId="0" borderId="59" xfId="0" applyFont="1" applyBorder="1">
      <alignment vertical="center"/>
    </xf>
    <xf numFmtId="194" fontId="6" fillId="0" borderId="0" xfId="0" applyNumberFormat="1" applyFont="1" applyAlignment="1">
      <alignment horizontal="center" vertical="center"/>
    </xf>
    <xf numFmtId="182" fontId="6" fillId="9" borderId="76" xfId="0" applyNumberFormat="1" applyFont="1" applyFill="1" applyBorder="1" applyAlignment="1">
      <alignment vertical="center" shrinkToFit="1"/>
    </xf>
    <xf numFmtId="182" fontId="6" fillId="9" borderId="76" xfId="0" applyNumberFormat="1" applyFont="1" applyFill="1" applyBorder="1" applyAlignment="1">
      <alignment horizontal="center" vertical="center" shrinkToFit="1"/>
    </xf>
    <xf numFmtId="196" fontId="6" fillId="6" borderId="0" xfId="0" applyNumberFormat="1" applyFont="1" applyFill="1" applyAlignment="1">
      <alignment horizontal="center" vertical="center" shrinkToFit="1"/>
    </xf>
    <xf numFmtId="182" fontId="6" fillId="0" borderId="0" xfId="0" applyNumberFormat="1" applyFont="1">
      <alignment vertical="center"/>
    </xf>
    <xf numFmtId="179" fontId="6" fillId="0" borderId="0" xfId="0" applyNumberFormat="1" applyFont="1" applyAlignment="1">
      <alignment horizontal="center" vertical="center"/>
    </xf>
    <xf numFmtId="0" fontId="6" fillId="0" borderId="41" xfId="0" applyFont="1" applyBorder="1">
      <alignment vertical="center"/>
    </xf>
    <xf numFmtId="0" fontId="6" fillId="9" borderId="19" xfId="0" applyFont="1" applyFill="1" applyBorder="1" applyAlignment="1">
      <alignment horizontal="center" vertical="center" shrinkToFit="1"/>
    </xf>
    <xf numFmtId="0" fontId="6" fillId="9" borderId="57" xfId="0" applyFont="1" applyFill="1" applyBorder="1" applyAlignment="1">
      <alignment horizontal="center" vertical="center" shrinkToFit="1"/>
    </xf>
    <xf numFmtId="0" fontId="6" fillId="9" borderId="72" xfId="0" applyFont="1" applyFill="1" applyBorder="1" applyAlignment="1">
      <alignment horizontal="center" vertical="center" shrinkToFit="1"/>
    </xf>
    <xf numFmtId="0" fontId="6" fillId="9" borderId="18" xfId="0" applyFont="1" applyFill="1" applyBorder="1" applyAlignment="1">
      <alignment horizontal="center" vertical="center" shrinkToFit="1"/>
    </xf>
    <xf numFmtId="0" fontId="6" fillId="9" borderId="78" xfId="0" applyFont="1" applyFill="1" applyBorder="1" applyAlignment="1">
      <alignment horizontal="center" vertical="center" shrinkToFit="1"/>
    </xf>
    <xf numFmtId="0" fontId="6" fillId="9" borderId="77" xfId="0" applyFont="1" applyFill="1" applyBorder="1" applyAlignment="1">
      <alignment horizontal="center" vertical="center" shrinkToFit="1"/>
    </xf>
    <xf numFmtId="0" fontId="6" fillId="0" borderId="41" xfId="0" applyFont="1" applyBorder="1" applyAlignment="1">
      <alignment horizontal="left" vertical="center"/>
    </xf>
    <xf numFmtId="0" fontId="6" fillId="9" borderId="76" xfId="0" applyFont="1" applyFill="1" applyBorder="1" applyAlignment="1">
      <alignment horizontal="center" vertical="center" shrinkToFit="1"/>
    </xf>
    <xf numFmtId="0" fontId="6" fillId="9" borderId="68" xfId="0" applyFont="1" applyFill="1" applyBorder="1" applyAlignment="1">
      <alignment horizontal="center" vertical="center" shrinkToFit="1"/>
    </xf>
    <xf numFmtId="0" fontId="6" fillId="9" borderId="42" xfId="0" applyFont="1" applyFill="1" applyBorder="1" applyAlignment="1">
      <alignment horizontal="center" vertical="center" shrinkToFit="1"/>
    </xf>
    <xf numFmtId="0" fontId="6" fillId="9" borderId="46" xfId="0" applyFont="1" applyFill="1" applyBorder="1" applyAlignment="1">
      <alignment horizontal="center" vertical="center" shrinkToFit="1"/>
    </xf>
    <xf numFmtId="0" fontId="6" fillId="9" borderId="79" xfId="0" applyFont="1" applyFill="1" applyBorder="1" applyAlignment="1">
      <alignment horizontal="center" vertical="center" shrinkToFit="1"/>
    </xf>
    <xf numFmtId="179" fontId="6" fillId="0" borderId="0" xfId="0" applyNumberFormat="1" applyFont="1">
      <alignment vertical="center"/>
    </xf>
    <xf numFmtId="183" fontId="6" fillId="0" borderId="0" xfId="0" applyNumberFormat="1" applyFont="1">
      <alignment vertical="center"/>
    </xf>
    <xf numFmtId="184" fontId="11" fillId="0" borderId="0" xfId="0" applyNumberFormat="1" applyFont="1" applyAlignment="1">
      <alignment horizontal="center" vertical="center"/>
    </xf>
    <xf numFmtId="179" fontId="6" fillId="0" borderId="36" xfId="0" applyNumberFormat="1" applyFont="1" applyBorder="1" applyAlignment="1">
      <alignment horizontal="center" vertical="center"/>
    </xf>
    <xf numFmtId="0" fontId="6" fillId="0" borderId="60" xfId="0" applyFont="1" applyBorder="1">
      <alignment vertical="center"/>
    </xf>
    <xf numFmtId="185" fontId="11" fillId="0" borderId="0" xfId="0" applyNumberFormat="1" applyFont="1" applyAlignment="1">
      <alignment horizontal="center" vertical="center"/>
    </xf>
    <xf numFmtId="0" fontId="6" fillId="0" borderId="59" xfId="0" applyFont="1" applyBorder="1" applyAlignment="1">
      <alignment horizontal="center" vertical="center"/>
    </xf>
    <xf numFmtId="0" fontId="6" fillId="0" borderId="44" xfId="0" applyFont="1" applyBorder="1">
      <alignment vertical="center"/>
    </xf>
    <xf numFmtId="0" fontId="6" fillId="0" borderId="43" xfId="0" applyFont="1" applyBorder="1">
      <alignment vertical="center"/>
    </xf>
    <xf numFmtId="0" fontId="6" fillId="0" borderId="35" xfId="0" applyFont="1" applyBorder="1" applyAlignment="1">
      <alignment horizontal="center" vertical="center"/>
    </xf>
    <xf numFmtId="0" fontId="6" fillId="0" borderId="44" xfId="0" applyFont="1" applyBorder="1" applyAlignment="1">
      <alignment horizontal="center" vertical="center"/>
    </xf>
    <xf numFmtId="0" fontId="6" fillId="0" borderId="0" xfId="0" applyFont="1" applyAlignment="1">
      <alignment horizontal="left" vertical="center"/>
    </xf>
    <xf numFmtId="0" fontId="6" fillId="0" borderId="37" xfId="0" applyFont="1" applyBorder="1" applyAlignment="1">
      <alignment horizontal="center" vertical="center"/>
    </xf>
    <xf numFmtId="0" fontId="6" fillId="0" borderId="43" xfId="0" applyFont="1" applyBorder="1" applyAlignment="1">
      <alignment horizontal="center" vertical="center"/>
    </xf>
    <xf numFmtId="0" fontId="6" fillId="0" borderId="43" xfId="0" applyFont="1" applyBorder="1" applyAlignment="1">
      <alignment vertical="center" shrinkToFit="1"/>
    </xf>
    <xf numFmtId="0" fontId="6" fillId="0" borderId="36" xfId="0" applyFont="1" applyBorder="1" applyAlignment="1">
      <alignment horizontal="center" vertical="center"/>
    </xf>
    <xf numFmtId="0" fontId="6" fillId="0" borderId="41" xfId="0" applyFont="1" applyBorder="1" applyAlignment="1">
      <alignment horizontal="center" vertical="center"/>
    </xf>
    <xf numFmtId="0" fontId="14" fillId="0" borderId="0" xfId="0" applyFont="1" applyAlignment="1">
      <alignment vertical="center" shrinkToFit="1"/>
    </xf>
    <xf numFmtId="0" fontId="6" fillId="0" borderId="35" xfId="0" applyFont="1" applyBorder="1">
      <alignment vertical="center"/>
    </xf>
    <xf numFmtId="0" fontId="14" fillId="0" borderId="41" xfId="0" applyFont="1" applyBorder="1" applyAlignment="1">
      <alignment vertical="center" shrinkToFit="1"/>
    </xf>
    <xf numFmtId="181" fontId="6" fillId="0" borderId="35" xfId="0" applyNumberFormat="1" applyFont="1" applyBorder="1" applyAlignment="1">
      <alignment horizontal="right" vertical="center" shrinkToFit="1"/>
    </xf>
    <xf numFmtId="0" fontId="14" fillId="0" borderId="41" xfId="0" applyFont="1" applyBorder="1" applyProtection="1">
      <alignment vertical="center"/>
      <protection hidden="1"/>
    </xf>
    <xf numFmtId="198" fontId="6" fillId="0" borderId="59" xfId="0" applyNumberFormat="1" applyFont="1" applyBorder="1" applyAlignment="1">
      <alignment horizontal="center" vertical="center"/>
    </xf>
    <xf numFmtId="198" fontId="6" fillId="0" borderId="41" xfId="0" applyNumberFormat="1" applyFont="1" applyBorder="1" applyAlignment="1">
      <alignment horizontal="center" vertical="center"/>
    </xf>
    <xf numFmtId="0" fontId="6" fillId="0" borderId="36" xfId="0" applyFont="1" applyBorder="1" applyAlignment="1">
      <alignment horizontal="left" vertical="center"/>
    </xf>
    <xf numFmtId="181" fontId="6" fillId="0" borderId="36" xfId="0" applyNumberFormat="1" applyFont="1" applyBorder="1">
      <alignment vertical="center"/>
    </xf>
    <xf numFmtId="0" fontId="6" fillId="0" borderId="60" xfId="0" applyFont="1" applyBorder="1" applyAlignment="1">
      <alignment horizontal="center" vertical="center"/>
    </xf>
    <xf numFmtId="198" fontId="6" fillId="0" borderId="60" xfId="0" applyNumberFormat="1" applyFont="1" applyBorder="1" applyAlignment="1">
      <alignment horizontal="center" vertical="center"/>
    </xf>
    <xf numFmtId="181" fontId="6" fillId="0" borderId="0" xfId="0" applyNumberFormat="1" applyFont="1">
      <alignment vertical="center"/>
    </xf>
    <xf numFmtId="178" fontId="6" fillId="0" borderId="0" xfId="0" applyNumberFormat="1" applyFont="1">
      <alignment vertical="center"/>
    </xf>
    <xf numFmtId="0" fontId="14" fillId="0" borderId="0" xfId="0" applyFont="1">
      <alignment vertical="center"/>
    </xf>
    <xf numFmtId="0" fontId="14" fillId="0" borderId="41" xfId="0" applyFont="1" applyBorder="1">
      <alignment vertical="center"/>
    </xf>
    <xf numFmtId="0" fontId="6" fillId="0" borderId="36" xfId="0" applyFont="1" applyBorder="1">
      <alignment vertical="center"/>
    </xf>
    <xf numFmtId="0" fontId="14" fillId="0" borderId="36" xfId="0" applyFont="1" applyBorder="1">
      <alignment vertical="center"/>
    </xf>
    <xf numFmtId="0" fontId="14" fillId="0" borderId="60" xfId="0" applyFont="1" applyBorder="1">
      <alignment vertical="center"/>
    </xf>
    <xf numFmtId="0" fontId="6" fillId="0" borderId="44" xfId="0" applyFont="1" applyBorder="1" applyAlignment="1">
      <alignment vertical="center" shrinkToFit="1"/>
    </xf>
    <xf numFmtId="0" fontId="6" fillId="0" borderId="36" xfId="0" applyFont="1" applyBorder="1" applyAlignment="1">
      <alignment vertical="center" shrinkToFit="1"/>
    </xf>
    <xf numFmtId="0" fontId="6" fillId="0" borderId="0" xfId="0" applyFont="1" applyAlignment="1">
      <alignment vertical="center" shrinkToFit="1"/>
    </xf>
    <xf numFmtId="178" fontId="6" fillId="0" borderId="0" xfId="0" applyNumberFormat="1" applyFont="1" applyAlignment="1">
      <alignment horizontal="right" vertical="center" shrinkToFit="1"/>
    </xf>
    <xf numFmtId="184" fontId="11" fillId="0" borderId="0" xfId="0" applyNumberFormat="1" applyFont="1" applyAlignment="1">
      <alignment horizontal="center" vertical="center" shrinkToFit="1"/>
    </xf>
    <xf numFmtId="184" fontId="11" fillId="0" borderId="0" xfId="0" applyNumberFormat="1" applyFont="1" applyAlignment="1">
      <alignment vertical="center" shrinkToFit="1"/>
    </xf>
    <xf numFmtId="0" fontId="6" fillId="0" borderId="0" xfId="0" applyFont="1" applyAlignment="1">
      <alignment horizontal="right" vertical="center"/>
    </xf>
    <xf numFmtId="0" fontId="6" fillId="0" borderId="28" xfId="0" applyFont="1" applyBorder="1">
      <alignment vertical="center"/>
    </xf>
    <xf numFmtId="0" fontId="6" fillId="0" borderId="48" xfId="0" applyFont="1" applyBorder="1">
      <alignment vertical="center"/>
    </xf>
    <xf numFmtId="0" fontId="6" fillId="0" borderId="48" xfId="0" applyFont="1" applyBorder="1" applyAlignment="1">
      <alignment horizontal="right" vertical="center"/>
    </xf>
    <xf numFmtId="0" fontId="6" fillId="0" borderId="75" xfId="0" applyFont="1" applyBorder="1" applyAlignment="1">
      <alignment horizontal="left" vertical="center"/>
    </xf>
    <xf numFmtId="176" fontId="6" fillId="0" borderId="0" xfId="0" applyNumberFormat="1" applyFont="1" applyAlignment="1">
      <alignment horizontal="center" vertical="center"/>
    </xf>
    <xf numFmtId="49" fontId="6" fillId="0" borderId="0" xfId="0" applyNumberFormat="1" applyFont="1">
      <alignment vertical="center"/>
    </xf>
    <xf numFmtId="177" fontId="6" fillId="0" borderId="0" xfId="0" applyNumberFormat="1" applyFont="1" applyAlignment="1">
      <alignment vertical="center" shrinkToFit="1"/>
    </xf>
    <xf numFmtId="183" fontId="6" fillId="0" borderId="0" xfId="0" applyNumberFormat="1" applyFont="1" applyAlignment="1">
      <alignment vertical="center" shrinkToFit="1"/>
    </xf>
    <xf numFmtId="0" fontId="7" fillId="0" borderId="0" xfId="0" applyFont="1">
      <alignment vertical="center"/>
    </xf>
    <xf numFmtId="0" fontId="6" fillId="9" borderId="67" xfId="0" applyFont="1" applyFill="1" applyBorder="1" applyAlignment="1">
      <alignment horizontal="center" vertical="center"/>
    </xf>
    <xf numFmtId="0" fontId="4" fillId="0" borderId="0" xfId="0" applyFont="1" applyAlignment="1">
      <alignment horizontal="center" vertical="center"/>
    </xf>
    <xf numFmtId="0" fontId="6" fillId="9" borderId="52" xfId="0" applyFont="1" applyFill="1" applyBorder="1">
      <alignment vertical="center"/>
    </xf>
    <xf numFmtId="0" fontId="6" fillId="9" borderId="71" xfId="0" applyFont="1" applyFill="1" applyBorder="1">
      <alignment vertical="center"/>
    </xf>
    <xf numFmtId="178" fontId="6" fillId="0" borderId="0" xfId="0" applyNumberFormat="1" applyFont="1" applyAlignment="1">
      <alignment vertical="center" shrinkToFit="1"/>
    </xf>
    <xf numFmtId="190" fontId="5" fillId="0" borderId="0" xfId="0" applyNumberFormat="1" applyFont="1" applyAlignment="1">
      <alignment horizontal="center" vertical="center" shrinkToFit="1"/>
    </xf>
    <xf numFmtId="193" fontId="6" fillId="0" borderId="0" xfId="0" applyNumberFormat="1" applyFont="1" applyAlignment="1">
      <alignment vertical="center" shrinkToFit="1"/>
    </xf>
    <xf numFmtId="0" fontId="9" fillId="0" borderId="0" xfId="0" applyFont="1">
      <alignment vertical="center"/>
    </xf>
    <xf numFmtId="0" fontId="17" fillId="5" borderId="84" xfId="0" applyFont="1" applyFill="1" applyBorder="1">
      <alignment vertical="center"/>
    </xf>
    <xf numFmtId="0" fontId="17" fillId="5" borderId="61" xfId="0" applyFont="1" applyFill="1" applyBorder="1">
      <alignment vertical="center"/>
    </xf>
    <xf numFmtId="0" fontId="17" fillId="5" borderId="61" xfId="0" applyFont="1" applyFill="1" applyBorder="1" applyAlignment="1">
      <alignment horizontal="center" vertical="center"/>
    </xf>
    <xf numFmtId="193" fontId="17" fillId="5" borderId="61" xfId="0" applyNumberFormat="1" applyFont="1" applyFill="1" applyBorder="1">
      <alignment vertical="center"/>
    </xf>
    <xf numFmtId="0" fontId="17" fillId="5" borderId="85" xfId="0" applyFont="1" applyFill="1" applyBorder="1">
      <alignment vertical="center"/>
    </xf>
    <xf numFmtId="0" fontId="6" fillId="3" borderId="62" xfId="0" applyFont="1" applyFill="1" applyBorder="1" applyAlignment="1" applyProtection="1">
      <alignment horizontal="center" vertical="center" shrinkToFit="1"/>
      <protection hidden="1"/>
    </xf>
    <xf numFmtId="0" fontId="6" fillId="3" borderId="63" xfId="0" applyFont="1" applyFill="1" applyBorder="1" applyAlignment="1" applyProtection="1">
      <alignment horizontal="center" vertical="center" shrinkToFit="1"/>
      <protection hidden="1"/>
    </xf>
    <xf numFmtId="0" fontId="6" fillId="9" borderId="77" xfId="0" applyFont="1" applyFill="1" applyBorder="1" applyAlignment="1" applyProtection="1">
      <alignment horizontal="center" vertical="center" shrinkToFit="1"/>
      <protection hidden="1"/>
    </xf>
    <xf numFmtId="0" fontId="9" fillId="0" borderId="0" xfId="0" applyFont="1" applyAlignment="1">
      <alignment horizontal="center" vertical="center"/>
    </xf>
    <xf numFmtId="0" fontId="6" fillId="3" borderId="25" xfId="0" applyFont="1" applyFill="1" applyBorder="1" applyAlignment="1" applyProtection="1">
      <alignment horizontal="center" vertical="center" shrinkToFit="1"/>
      <protection hidden="1"/>
    </xf>
    <xf numFmtId="178" fontId="6" fillId="7" borderId="17" xfId="0" applyNumberFormat="1" applyFont="1" applyFill="1" applyBorder="1" applyAlignment="1" applyProtection="1">
      <alignment horizontal="center" vertical="center" shrinkToFit="1"/>
      <protection hidden="1"/>
    </xf>
    <xf numFmtId="193" fontId="6" fillId="8" borderId="17" xfId="0" applyNumberFormat="1" applyFont="1" applyFill="1" applyBorder="1" applyAlignment="1" applyProtection="1">
      <alignment horizontal="center" vertical="center" shrinkToFit="1"/>
      <protection hidden="1"/>
    </xf>
    <xf numFmtId="0" fontId="6" fillId="8" borderId="64" xfId="0" applyFont="1" applyFill="1" applyBorder="1" applyAlignment="1" applyProtection="1">
      <alignment horizontal="center" vertical="center" shrinkToFit="1"/>
      <protection hidden="1"/>
    </xf>
    <xf numFmtId="0" fontId="6" fillId="3" borderId="27" xfId="0" applyFont="1" applyFill="1" applyBorder="1" applyAlignment="1" applyProtection="1">
      <alignment horizontal="center" vertical="center" shrinkToFit="1"/>
      <protection hidden="1"/>
    </xf>
    <xf numFmtId="193" fontId="6" fillId="2" borderId="17" xfId="0" applyNumberFormat="1" applyFont="1" applyFill="1" applyBorder="1" applyAlignment="1">
      <alignment horizontal="center" vertical="center" shrinkToFit="1"/>
    </xf>
    <xf numFmtId="0" fontId="6" fillId="2" borderId="17" xfId="0" applyFont="1" applyFill="1" applyBorder="1" applyAlignment="1">
      <alignment horizontal="center" vertical="center" shrinkToFit="1"/>
    </xf>
    <xf numFmtId="190" fontId="5" fillId="9" borderId="41" xfId="0" applyNumberFormat="1" applyFont="1" applyFill="1" applyBorder="1" applyAlignment="1" applyProtection="1">
      <alignment horizontal="center" vertical="center" shrinkToFit="1"/>
      <protection hidden="1"/>
    </xf>
    <xf numFmtId="190" fontId="5" fillId="9" borderId="78" xfId="0" applyNumberFormat="1" applyFont="1" applyFill="1" applyBorder="1" applyAlignment="1" applyProtection="1">
      <alignment horizontal="center" vertical="center" shrinkToFit="1"/>
      <protection hidden="1"/>
    </xf>
    <xf numFmtId="0" fontId="4" fillId="3" borderId="98" xfId="0" applyFont="1" applyFill="1" applyBorder="1" applyAlignment="1" applyProtection="1">
      <alignment vertical="center" shrinkToFit="1"/>
      <protection hidden="1"/>
    </xf>
    <xf numFmtId="0" fontId="4" fillId="3" borderId="99" xfId="0" applyFont="1" applyFill="1" applyBorder="1" applyAlignment="1" applyProtection="1">
      <alignment vertical="center" shrinkToFit="1"/>
      <protection hidden="1"/>
    </xf>
    <xf numFmtId="193" fontId="4" fillId="3" borderId="99" xfId="0" applyNumberFormat="1" applyFont="1" applyFill="1" applyBorder="1" applyAlignment="1" applyProtection="1">
      <alignment vertical="center" shrinkToFit="1"/>
      <protection hidden="1"/>
    </xf>
    <xf numFmtId="0" fontId="4" fillId="3" borderId="110" xfId="0" applyFont="1" applyFill="1" applyBorder="1" applyAlignment="1" applyProtection="1">
      <alignment horizontal="center" vertical="center" shrinkToFit="1"/>
      <protection hidden="1"/>
    </xf>
    <xf numFmtId="0" fontId="4" fillId="3" borderId="112" xfId="0" applyFont="1" applyFill="1" applyBorder="1" applyAlignment="1" applyProtection="1">
      <alignment horizontal="center" vertical="center" shrinkToFit="1"/>
      <protection hidden="1"/>
    </xf>
    <xf numFmtId="0" fontId="4" fillId="3" borderId="100" xfId="0" applyFont="1" applyFill="1" applyBorder="1" applyAlignment="1" applyProtection="1">
      <alignment vertical="center" shrinkToFit="1"/>
      <protection hidden="1"/>
    </xf>
    <xf numFmtId="0" fontId="6" fillId="0" borderId="22" xfId="0" applyFont="1" applyBorder="1" applyAlignment="1" applyProtection="1">
      <alignment vertical="center" shrinkToFit="1"/>
      <protection hidden="1"/>
    </xf>
    <xf numFmtId="178" fontId="6" fillId="7" borderId="3" xfId="0" applyNumberFormat="1" applyFont="1" applyFill="1" applyBorder="1" applyAlignment="1" applyProtection="1">
      <alignment vertical="center" shrinkToFit="1"/>
      <protection hidden="1"/>
    </xf>
    <xf numFmtId="193" fontId="6" fillId="8" borderId="1" xfId="0" applyNumberFormat="1" applyFont="1" applyFill="1" applyBorder="1" applyAlignment="1" applyProtection="1">
      <alignment vertical="center" shrinkToFit="1"/>
      <protection hidden="1"/>
    </xf>
    <xf numFmtId="176" fontId="6" fillId="8" borderId="3" xfId="0" applyNumberFormat="1" applyFont="1" applyFill="1" applyBorder="1" applyAlignment="1" applyProtection="1">
      <alignment vertical="center" shrinkToFit="1"/>
      <protection hidden="1"/>
    </xf>
    <xf numFmtId="191" fontId="6" fillId="3" borderId="8" xfId="0" applyNumberFormat="1" applyFont="1" applyFill="1" applyBorder="1" applyAlignment="1" applyProtection="1">
      <alignment vertical="center" shrinkToFit="1"/>
      <protection hidden="1"/>
    </xf>
    <xf numFmtId="188" fontId="6" fillId="8" borderId="9" xfId="0" applyNumberFormat="1" applyFont="1" applyFill="1" applyBorder="1" applyAlignment="1" applyProtection="1">
      <alignment vertical="center" shrinkToFit="1"/>
      <protection hidden="1"/>
    </xf>
    <xf numFmtId="180" fontId="6" fillId="9" borderId="3" xfId="0" applyNumberFormat="1" applyFont="1" applyFill="1" applyBorder="1" applyAlignment="1" applyProtection="1">
      <alignment horizontal="right" vertical="center" shrinkToFit="1"/>
      <protection hidden="1"/>
    </xf>
    <xf numFmtId="176" fontId="6" fillId="9" borderId="3" xfId="0" applyNumberFormat="1" applyFont="1" applyFill="1" applyBorder="1" applyAlignment="1" applyProtection="1">
      <alignment horizontal="right" vertical="center" shrinkToFit="1"/>
      <protection hidden="1"/>
    </xf>
    <xf numFmtId="190" fontId="5" fillId="9" borderId="70" xfId="0" applyNumberFormat="1" applyFont="1" applyFill="1" applyBorder="1" applyAlignment="1" applyProtection="1">
      <alignment horizontal="center" vertical="center" shrinkToFit="1"/>
      <protection hidden="1"/>
    </xf>
    <xf numFmtId="176" fontId="5" fillId="9" borderId="70" xfId="0" applyNumberFormat="1" applyFont="1" applyFill="1" applyBorder="1" applyAlignment="1" applyProtection="1">
      <alignment horizontal="center" vertical="center" shrinkToFit="1"/>
      <protection hidden="1"/>
    </xf>
    <xf numFmtId="176" fontId="5" fillId="9" borderId="82" xfId="0" applyNumberFormat="1" applyFont="1" applyFill="1" applyBorder="1" applyAlignment="1" applyProtection="1">
      <alignment horizontal="center" vertical="center" shrinkToFit="1"/>
      <protection hidden="1"/>
    </xf>
    <xf numFmtId="0" fontId="6" fillId="0" borderId="23" xfId="0" applyFont="1" applyBorder="1" applyAlignment="1">
      <alignment vertical="center" shrinkToFit="1"/>
    </xf>
    <xf numFmtId="190" fontId="9" fillId="0" borderId="0" xfId="0" applyNumberFormat="1" applyFont="1">
      <alignment vertical="center"/>
    </xf>
    <xf numFmtId="0" fontId="6" fillId="0" borderId="23" xfId="0" applyFont="1" applyBorder="1" applyAlignment="1" applyProtection="1">
      <alignment vertical="center" shrinkToFit="1"/>
      <protection hidden="1"/>
    </xf>
    <xf numFmtId="176" fontId="6" fillId="9" borderId="10" xfId="0" applyNumberFormat="1" applyFont="1" applyFill="1" applyBorder="1" applyAlignment="1" applyProtection="1">
      <alignment horizontal="right" vertical="center" shrinkToFit="1"/>
      <protection hidden="1"/>
    </xf>
    <xf numFmtId="49" fontId="6" fillId="0" borderId="24" xfId="0" applyNumberFormat="1" applyFont="1" applyBorder="1" applyAlignment="1" applyProtection="1">
      <alignment vertical="center" shrinkToFit="1"/>
      <protection hidden="1"/>
    </xf>
    <xf numFmtId="49" fontId="6" fillId="0" borderId="23" xfId="0" applyNumberFormat="1" applyFont="1" applyBorder="1" applyAlignment="1" applyProtection="1">
      <alignment vertical="center" shrinkToFit="1"/>
      <protection hidden="1"/>
    </xf>
    <xf numFmtId="178" fontId="6" fillId="7" borderId="3" xfId="0" applyNumberFormat="1" applyFont="1" applyFill="1" applyBorder="1" applyAlignment="1" applyProtection="1">
      <alignment horizontal="right" vertical="center" shrinkToFit="1"/>
      <protection hidden="1"/>
    </xf>
    <xf numFmtId="176" fontId="6" fillId="8" borderId="1" xfId="0" applyNumberFormat="1" applyFont="1" applyFill="1" applyBorder="1" applyAlignment="1" applyProtection="1">
      <alignment vertical="center" shrinkToFit="1"/>
      <protection hidden="1"/>
    </xf>
    <xf numFmtId="0" fontId="6" fillId="0" borderId="21" xfId="0" applyFont="1" applyBorder="1" applyAlignment="1" applyProtection="1">
      <alignment vertical="center" shrinkToFit="1"/>
      <protection hidden="1"/>
    </xf>
    <xf numFmtId="178" fontId="6" fillId="7" borderId="3" xfId="0" applyNumberFormat="1" applyFont="1" applyFill="1" applyBorder="1" applyAlignment="1" applyProtection="1">
      <alignment horizontal="right" vertical="center" shrinkToFit="1"/>
      <protection locked="0" hidden="1"/>
    </xf>
    <xf numFmtId="180" fontId="6" fillId="9" borderId="3" xfId="0" applyNumberFormat="1" applyFont="1" applyFill="1" applyBorder="1" applyAlignment="1" applyProtection="1">
      <alignment vertical="center" shrinkToFit="1"/>
      <protection hidden="1"/>
    </xf>
    <xf numFmtId="0" fontId="6" fillId="0" borderId="23" xfId="0" applyFont="1" applyBorder="1" applyAlignment="1" applyProtection="1">
      <alignment horizontal="left" vertical="center" shrinkToFit="1"/>
      <protection locked="0"/>
    </xf>
    <xf numFmtId="0" fontId="6" fillId="0" borderId="22" xfId="0" applyFont="1" applyBorder="1" applyAlignment="1" applyProtection="1">
      <alignment vertical="center" shrinkToFit="1"/>
      <protection locked="0" hidden="1"/>
    </xf>
    <xf numFmtId="178" fontId="6" fillId="7" borderId="1" xfId="0" applyNumberFormat="1" applyFont="1" applyFill="1" applyBorder="1" applyAlignment="1" applyProtection="1">
      <alignment horizontal="right" vertical="center" shrinkToFit="1"/>
      <protection hidden="1"/>
    </xf>
    <xf numFmtId="180" fontId="6" fillId="9" borderId="1" xfId="0" applyNumberFormat="1" applyFont="1" applyFill="1" applyBorder="1" applyAlignment="1" applyProtection="1">
      <alignment horizontal="right" vertical="center" shrinkToFit="1"/>
      <protection hidden="1"/>
    </xf>
    <xf numFmtId="49" fontId="6" fillId="0" borderId="21" xfId="0" applyNumberFormat="1" applyFont="1" applyBorder="1" applyAlignment="1" applyProtection="1">
      <alignment vertical="center" shrinkToFit="1"/>
      <protection hidden="1"/>
    </xf>
    <xf numFmtId="176" fontId="6" fillId="9" borderId="1" xfId="0" applyNumberFormat="1" applyFont="1" applyFill="1" applyBorder="1" applyAlignment="1" applyProtection="1">
      <alignment horizontal="right" vertical="center" shrinkToFit="1"/>
      <protection hidden="1"/>
    </xf>
    <xf numFmtId="0" fontId="6" fillId="0" borderId="20" xfId="0" applyFont="1" applyBorder="1" applyAlignment="1" applyProtection="1">
      <alignment vertical="center" shrinkToFit="1"/>
      <protection hidden="1"/>
    </xf>
    <xf numFmtId="193" fontId="6" fillId="8" borderId="3" xfId="0" applyNumberFormat="1" applyFont="1" applyFill="1" applyBorder="1" applyAlignment="1" applyProtection="1">
      <alignment vertical="center" shrinkToFit="1"/>
      <protection hidden="1"/>
    </xf>
    <xf numFmtId="176" fontId="6" fillId="8" borderId="10" xfId="0" applyNumberFormat="1" applyFont="1" applyFill="1" applyBorder="1" applyAlignment="1" applyProtection="1">
      <alignment vertical="center" shrinkToFit="1"/>
      <protection hidden="1"/>
    </xf>
    <xf numFmtId="0" fontId="6" fillId="9" borderId="3" xfId="0" applyFont="1" applyFill="1" applyBorder="1" applyAlignment="1" applyProtection="1">
      <alignment horizontal="center" vertical="center" shrinkToFit="1"/>
      <protection locked="0" hidden="1"/>
    </xf>
    <xf numFmtId="0" fontId="6" fillId="0" borderId="23" xfId="0" applyFont="1" applyBorder="1" applyAlignment="1" applyProtection="1">
      <alignment vertical="center" shrinkToFit="1"/>
      <protection locked="0"/>
    </xf>
    <xf numFmtId="0" fontId="4" fillId="3" borderId="98" xfId="0" applyFont="1" applyFill="1" applyBorder="1" applyAlignment="1">
      <alignment vertical="center" shrinkToFit="1"/>
    </xf>
    <xf numFmtId="0" fontId="4" fillId="3" borderId="99" xfId="0" applyFont="1" applyFill="1" applyBorder="1" applyAlignment="1">
      <alignment vertical="center" shrinkToFit="1"/>
    </xf>
    <xf numFmtId="193" fontId="4" fillId="3" borderId="99" xfId="0" applyNumberFormat="1" applyFont="1" applyFill="1" applyBorder="1" applyAlignment="1">
      <alignment vertical="center" shrinkToFit="1"/>
    </xf>
    <xf numFmtId="0" fontId="4" fillId="3" borderId="110" xfId="0" applyFont="1" applyFill="1" applyBorder="1" applyAlignment="1">
      <alignment horizontal="center" vertical="center" shrinkToFit="1"/>
    </xf>
    <xf numFmtId="0" fontId="4" fillId="3" borderId="112" xfId="0" applyFont="1" applyFill="1" applyBorder="1" applyAlignment="1">
      <alignment horizontal="center" vertical="center" shrinkToFit="1"/>
    </xf>
    <xf numFmtId="0" fontId="4" fillId="3" borderId="100" xfId="0" applyFont="1" applyFill="1" applyBorder="1" applyAlignment="1">
      <alignment vertical="center" shrinkToFit="1"/>
    </xf>
    <xf numFmtId="0" fontId="6" fillId="0" borderId="22" xfId="0" applyFont="1" applyBorder="1" applyAlignment="1">
      <alignment vertical="center" shrinkToFit="1"/>
    </xf>
    <xf numFmtId="178" fontId="6" fillId="7" borderId="33" xfId="0" applyNumberFormat="1" applyFont="1" applyFill="1" applyBorder="1" applyAlignment="1">
      <alignment horizontal="right" vertical="center" shrinkToFit="1"/>
    </xf>
    <xf numFmtId="193" fontId="6" fillId="8" borderId="33" xfId="0" applyNumberFormat="1" applyFont="1" applyFill="1" applyBorder="1" applyAlignment="1" applyProtection="1">
      <alignment vertical="center" shrinkToFit="1"/>
      <protection hidden="1"/>
    </xf>
    <xf numFmtId="176" fontId="6" fillId="8" borderId="33" xfId="0" applyNumberFormat="1" applyFont="1" applyFill="1" applyBorder="1" applyAlignment="1">
      <alignment vertical="center" shrinkToFit="1"/>
    </xf>
    <xf numFmtId="191" fontId="6" fillId="3" borderId="34" xfId="0" applyNumberFormat="1" applyFont="1" applyFill="1" applyBorder="1" applyAlignment="1" applyProtection="1">
      <alignment vertical="center" shrinkToFit="1"/>
      <protection hidden="1"/>
    </xf>
    <xf numFmtId="178" fontId="6" fillId="7" borderId="33" xfId="0" applyNumberFormat="1" applyFont="1" applyFill="1" applyBorder="1" applyAlignment="1" applyProtection="1">
      <alignment vertical="center" shrinkToFit="1"/>
      <protection hidden="1"/>
    </xf>
    <xf numFmtId="188" fontId="6" fillId="8" borderId="47" xfId="0" applyNumberFormat="1" applyFont="1" applyFill="1" applyBorder="1" applyAlignment="1" applyProtection="1">
      <alignment vertical="center" shrinkToFit="1"/>
      <protection hidden="1"/>
    </xf>
    <xf numFmtId="180" fontId="6" fillId="9" borderId="33" xfId="0" applyNumberFormat="1" applyFont="1" applyFill="1" applyBorder="1" applyAlignment="1">
      <alignment horizontal="right" vertical="center" shrinkToFit="1"/>
    </xf>
    <xf numFmtId="176" fontId="6" fillId="9" borderId="33" xfId="0" applyNumberFormat="1" applyFont="1" applyFill="1" applyBorder="1" applyAlignment="1" applyProtection="1">
      <alignment horizontal="right" vertical="center" shrinkToFit="1"/>
      <protection hidden="1"/>
    </xf>
    <xf numFmtId="176" fontId="6" fillId="9" borderId="33" xfId="0" applyNumberFormat="1" applyFont="1" applyFill="1" applyBorder="1" applyAlignment="1">
      <alignment horizontal="right" vertical="center" shrinkToFit="1"/>
    </xf>
    <xf numFmtId="0" fontId="6" fillId="0" borderId="20" xfId="0" applyFont="1" applyBorder="1" applyAlignment="1">
      <alignment vertical="center" shrinkToFit="1"/>
    </xf>
    <xf numFmtId="0" fontId="6" fillId="8" borderId="3" xfId="0" applyFont="1" applyFill="1" applyBorder="1">
      <alignment vertical="center"/>
    </xf>
    <xf numFmtId="180" fontId="6" fillId="9" borderId="3" xfId="0" applyNumberFormat="1" applyFont="1" applyFill="1" applyBorder="1" applyAlignment="1">
      <alignment vertical="center" shrinkToFit="1"/>
    </xf>
    <xf numFmtId="176" fontId="6" fillId="9" borderId="3" xfId="0" applyNumberFormat="1" applyFont="1" applyFill="1" applyBorder="1" applyAlignment="1">
      <alignment vertical="center" shrinkToFit="1"/>
    </xf>
    <xf numFmtId="178" fontId="6" fillId="7" borderId="3" xfId="0" applyNumberFormat="1" applyFont="1" applyFill="1" applyBorder="1" applyAlignment="1">
      <alignment horizontal="right" vertical="center" shrinkToFit="1"/>
    </xf>
    <xf numFmtId="176" fontId="6" fillId="8" borderId="3" xfId="0" applyNumberFormat="1" applyFont="1" applyFill="1" applyBorder="1" applyAlignment="1">
      <alignment vertical="center" shrinkToFit="1"/>
    </xf>
    <xf numFmtId="180" fontId="6" fillId="9" borderId="3" xfId="0" applyNumberFormat="1" applyFont="1" applyFill="1" applyBorder="1" applyAlignment="1">
      <alignment horizontal="right" vertical="center" shrinkToFit="1"/>
    </xf>
    <xf numFmtId="176" fontId="6" fillId="9" borderId="3" xfId="0" applyNumberFormat="1" applyFont="1" applyFill="1" applyBorder="1" applyAlignment="1">
      <alignment horizontal="right" vertical="center" shrinkToFit="1"/>
    </xf>
    <xf numFmtId="176" fontId="6" fillId="9" borderId="3" xfId="0" applyNumberFormat="1" applyFont="1" applyFill="1" applyBorder="1" applyAlignment="1" applyProtection="1">
      <alignment vertical="center" shrinkToFit="1"/>
      <protection hidden="1"/>
    </xf>
    <xf numFmtId="180" fontId="6" fillId="9" borderId="1" xfId="0" applyNumberFormat="1" applyFont="1" applyFill="1" applyBorder="1" applyAlignment="1">
      <alignment vertical="center" shrinkToFit="1"/>
    </xf>
    <xf numFmtId="0" fontId="4" fillId="0" borderId="23" xfId="0" applyFont="1" applyBorder="1" applyAlignment="1">
      <alignment vertical="center" shrinkToFit="1"/>
    </xf>
    <xf numFmtId="0" fontId="6" fillId="0" borderId="26" xfId="0" applyFont="1" applyBorder="1" applyAlignment="1" applyProtection="1">
      <alignment vertical="center" shrinkToFit="1"/>
      <protection hidden="1"/>
    </xf>
    <xf numFmtId="178" fontId="6" fillId="7" borderId="10" xfId="0" applyNumberFormat="1" applyFont="1" applyFill="1" applyBorder="1" applyAlignment="1" applyProtection="1">
      <alignment horizontal="right" vertical="center" shrinkToFit="1"/>
      <protection hidden="1"/>
    </xf>
    <xf numFmtId="191" fontId="6" fillId="3" borderId="14" xfId="0" applyNumberFormat="1" applyFont="1" applyFill="1" applyBorder="1" applyAlignment="1" applyProtection="1">
      <alignment vertical="center" shrinkToFit="1"/>
      <protection hidden="1"/>
    </xf>
    <xf numFmtId="180" fontId="6" fillId="9" borderId="10" xfId="0" applyNumberFormat="1" applyFont="1" applyFill="1" applyBorder="1" applyAlignment="1" applyProtection="1">
      <alignment horizontal="right" vertical="center" shrinkToFit="1"/>
      <protection hidden="1"/>
    </xf>
    <xf numFmtId="0" fontId="6" fillId="0" borderId="24" xfId="0" applyFont="1" applyBorder="1" applyAlignment="1" applyProtection="1">
      <alignment vertical="center" shrinkToFit="1"/>
      <protection hidden="1"/>
    </xf>
    <xf numFmtId="0" fontId="6" fillId="0" borderId="89" xfId="0" applyFont="1" applyBorder="1" applyAlignment="1" applyProtection="1">
      <alignment vertical="center" shrinkToFit="1"/>
      <protection locked="0" hidden="1"/>
    </xf>
    <xf numFmtId="0" fontId="6" fillId="8" borderId="3" xfId="0" applyFont="1" applyFill="1" applyBorder="1" applyAlignment="1" applyProtection="1">
      <alignment horizontal="right" vertical="center" shrinkToFit="1"/>
      <protection locked="0" hidden="1"/>
    </xf>
    <xf numFmtId="0" fontId="6" fillId="3" borderId="8" xfId="0" applyFont="1" applyFill="1" applyBorder="1" applyAlignment="1" applyProtection="1">
      <alignment horizontal="right" vertical="center" shrinkToFit="1"/>
      <protection locked="0" hidden="1"/>
    </xf>
    <xf numFmtId="0" fontId="6" fillId="0" borderId="23" xfId="0" applyFont="1" applyBorder="1" applyAlignment="1" applyProtection="1">
      <alignment horizontal="center" vertical="center" shrinkToFit="1"/>
      <protection locked="0"/>
    </xf>
    <xf numFmtId="178" fontId="6" fillId="7" borderId="10" xfId="0" applyNumberFormat="1" applyFont="1" applyFill="1" applyBorder="1" applyAlignment="1" applyProtection="1">
      <alignment horizontal="right" vertical="center" shrinkToFit="1"/>
      <protection locked="0" hidden="1"/>
    </xf>
    <xf numFmtId="188" fontId="6" fillId="8" borderId="1" xfId="0" applyNumberFormat="1" applyFont="1" applyFill="1" applyBorder="1" applyAlignment="1" applyProtection="1">
      <alignment vertical="center" shrinkToFit="1"/>
      <protection hidden="1"/>
    </xf>
    <xf numFmtId="191" fontId="6" fillId="3" borderId="5" xfId="0" applyNumberFormat="1" applyFont="1" applyFill="1" applyBorder="1" applyAlignment="1" applyProtection="1">
      <alignment vertical="center" shrinkToFit="1"/>
      <protection hidden="1"/>
    </xf>
    <xf numFmtId="178" fontId="6" fillId="7" borderId="1" xfId="0" applyNumberFormat="1" applyFont="1" applyFill="1" applyBorder="1" applyAlignment="1" applyProtection="1">
      <alignment vertical="center" shrinkToFit="1"/>
      <protection hidden="1"/>
    </xf>
    <xf numFmtId="178" fontId="6" fillId="7" borderId="33" xfId="0" applyNumberFormat="1" applyFont="1" applyFill="1" applyBorder="1" applyAlignment="1" applyProtection="1">
      <alignment horizontal="right" vertical="center" shrinkToFit="1"/>
      <protection hidden="1"/>
    </xf>
    <xf numFmtId="176" fontId="6" fillId="8" borderId="33" xfId="0" applyNumberFormat="1" applyFont="1" applyFill="1" applyBorder="1" applyAlignment="1" applyProtection="1">
      <alignment vertical="center" shrinkToFit="1"/>
      <protection hidden="1"/>
    </xf>
    <xf numFmtId="180" fontId="6" fillId="9" borderId="33" xfId="0" applyNumberFormat="1" applyFont="1" applyFill="1" applyBorder="1" applyAlignment="1" applyProtection="1">
      <alignment vertical="center" shrinkToFit="1"/>
      <protection hidden="1"/>
    </xf>
    <xf numFmtId="176" fontId="6" fillId="9" borderId="33" xfId="0" applyNumberFormat="1" applyFont="1" applyFill="1" applyBorder="1" applyAlignment="1" applyProtection="1">
      <alignment vertical="center" shrinkToFit="1"/>
      <protection hidden="1"/>
    </xf>
    <xf numFmtId="188" fontId="6" fillId="8" borderId="3" xfId="0" applyNumberFormat="1" applyFont="1" applyFill="1" applyBorder="1" applyAlignment="1" applyProtection="1">
      <alignment vertical="center" shrinkToFit="1"/>
      <protection hidden="1"/>
    </xf>
    <xf numFmtId="0" fontId="6" fillId="8" borderId="3" xfId="0" applyFont="1" applyFill="1" applyBorder="1" applyAlignment="1" applyProtection="1">
      <alignment horizontal="center" vertical="center" shrinkToFit="1"/>
      <protection locked="0" hidden="1"/>
    </xf>
    <xf numFmtId="193" fontId="6" fillId="8" borderId="3" xfId="0" applyNumberFormat="1" applyFont="1" applyFill="1" applyBorder="1" applyAlignment="1" applyProtection="1">
      <alignment horizontal="right" vertical="center" shrinkToFit="1"/>
      <protection locked="0"/>
    </xf>
    <xf numFmtId="0" fontId="6" fillId="0" borderId="106" xfId="0" applyFont="1" applyBorder="1" applyAlignment="1" applyProtection="1">
      <alignment vertical="center" shrinkToFit="1"/>
      <protection locked="0" hidden="1"/>
    </xf>
    <xf numFmtId="178" fontId="6" fillId="7" borderId="73" xfId="0" applyNumberFormat="1" applyFont="1" applyFill="1" applyBorder="1" applyAlignment="1" applyProtection="1">
      <alignment horizontal="right" vertical="center" shrinkToFit="1"/>
      <protection locked="0" hidden="1"/>
    </xf>
    <xf numFmtId="193" fontId="6" fillId="8" borderId="73" xfId="0" applyNumberFormat="1" applyFont="1" applyFill="1" applyBorder="1" applyAlignment="1" applyProtection="1">
      <alignment vertical="center" shrinkToFit="1"/>
      <protection hidden="1"/>
    </xf>
    <xf numFmtId="0" fontId="6" fillId="8" borderId="73" xfId="0" applyFont="1" applyFill="1" applyBorder="1" applyAlignment="1" applyProtection="1">
      <alignment horizontal="right" vertical="center" shrinkToFit="1"/>
      <protection locked="0" hidden="1"/>
    </xf>
    <xf numFmtId="0" fontId="6" fillId="3" borderId="104" xfId="0" applyFont="1" applyFill="1" applyBorder="1" applyAlignment="1" applyProtection="1">
      <alignment horizontal="right" vertical="center" shrinkToFit="1"/>
      <protection locked="0" hidden="1"/>
    </xf>
    <xf numFmtId="193" fontId="6" fillId="8" borderId="73" xfId="0" applyNumberFormat="1" applyFont="1" applyFill="1" applyBorder="1" applyAlignment="1" applyProtection="1">
      <alignment horizontal="right" vertical="center" shrinkToFit="1"/>
      <protection locked="0"/>
    </xf>
    <xf numFmtId="188" fontId="6" fillId="8" borderId="73" xfId="0" applyNumberFormat="1" applyFont="1" applyFill="1" applyBorder="1" applyAlignment="1" applyProtection="1">
      <alignment vertical="center" shrinkToFit="1"/>
      <protection hidden="1"/>
    </xf>
    <xf numFmtId="0" fontId="6" fillId="9" borderId="73" xfId="0" applyFont="1" applyFill="1" applyBorder="1" applyAlignment="1" applyProtection="1">
      <alignment horizontal="center" vertical="center" shrinkToFit="1"/>
      <protection locked="0" hidden="1"/>
    </xf>
    <xf numFmtId="0" fontId="6" fillId="8" borderId="16" xfId="0" applyFont="1" applyFill="1" applyBorder="1">
      <alignment vertical="center"/>
    </xf>
    <xf numFmtId="0" fontId="6" fillId="8" borderId="9" xfId="0" applyFont="1" applyFill="1" applyBorder="1" applyAlignment="1" applyProtection="1">
      <alignment vertical="center" shrinkToFit="1"/>
      <protection hidden="1"/>
    </xf>
    <xf numFmtId="0" fontId="6" fillId="0" borderId="26" xfId="0" applyFont="1" applyBorder="1" applyAlignment="1">
      <alignment vertical="center" shrinkToFit="1"/>
    </xf>
    <xf numFmtId="178" fontId="6" fillId="7" borderId="73" xfId="0" applyNumberFormat="1" applyFont="1" applyFill="1" applyBorder="1" applyAlignment="1" applyProtection="1">
      <alignment horizontal="right" vertical="center" shrinkToFit="1"/>
      <protection hidden="1"/>
    </xf>
    <xf numFmtId="0" fontId="6" fillId="8" borderId="95" xfId="0" applyFont="1" applyFill="1" applyBorder="1">
      <alignment vertical="center"/>
    </xf>
    <xf numFmtId="191" fontId="6" fillId="3" borderId="104" xfId="0" applyNumberFormat="1" applyFont="1" applyFill="1" applyBorder="1" applyAlignment="1" applyProtection="1">
      <alignment vertical="center" shrinkToFit="1"/>
      <protection hidden="1"/>
    </xf>
    <xf numFmtId="178" fontId="6" fillId="7" borderId="73" xfId="0" applyNumberFormat="1" applyFont="1" applyFill="1" applyBorder="1" applyAlignment="1" applyProtection="1">
      <alignment vertical="center" shrinkToFit="1"/>
      <protection hidden="1"/>
    </xf>
    <xf numFmtId="0" fontId="6" fillId="8" borderId="97" xfId="0" applyFont="1" applyFill="1" applyBorder="1" applyAlignment="1" applyProtection="1">
      <alignment vertical="center" shrinkToFit="1"/>
      <protection hidden="1"/>
    </xf>
    <xf numFmtId="180" fontId="6" fillId="9" borderId="73" xfId="0" applyNumberFormat="1" applyFont="1" applyFill="1" applyBorder="1" applyAlignment="1" applyProtection="1">
      <alignment horizontal="right" vertical="center" shrinkToFit="1"/>
      <protection hidden="1"/>
    </xf>
    <xf numFmtId="176" fontId="6" fillId="9" borderId="73" xfId="0" applyNumberFormat="1" applyFont="1" applyFill="1" applyBorder="1" applyAlignment="1" applyProtection="1">
      <alignment horizontal="right" vertical="center" shrinkToFit="1"/>
      <protection hidden="1"/>
    </xf>
    <xf numFmtId="49" fontId="6" fillId="0" borderId="105" xfId="0" applyNumberFormat="1" applyFont="1" applyBorder="1" applyAlignment="1" applyProtection="1">
      <alignment vertical="center" shrinkToFit="1"/>
      <protection hidden="1"/>
    </xf>
    <xf numFmtId="176" fontId="5" fillId="9" borderId="86" xfId="0" applyNumberFormat="1" applyFont="1" applyFill="1" applyBorder="1" applyAlignment="1" applyProtection="1">
      <alignment horizontal="center" vertical="center" shrinkToFit="1"/>
      <protection hidden="1"/>
    </xf>
    <xf numFmtId="188" fontId="6" fillId="8" borderId="13" xfId="0" applyNumberFormat="1" applyFont="1" applyFill="1" applyBorder="1" applyAlignment="1" applyProtection="1">
      <alignment vertical="center" shrinkToFit="1"/>
      <protection hidden="1"/>
    </xf>
    <xf numFmtId="178" fontId="6" fillId="7" borderId="10" xfId="0" applyNumberFormat="1" applyFont="1" applyFill="1" applyBorder="1" applyAlignment="1" applyProtection="1">
      <alignment vertical="center" shrinkToFit="1"/>
      <protection hidden="1"/>
    </xf>
    <xf numFmtId="49" fontId="9" fillId="0" borderId="23" xfId="0" applyNumberFormat="1" applyFont="1" applyBorder="1" applyAlignment="1" applyProtection="1">
      <alignment vertical="center" shrinkToFit="1"/>
      <protection hidden="1"/>
    </xf>
    <xf numFmtId="0" fontId="6" fillId="0" borderId="89" xfId="0" applyFont="1" applyBorder="1" applyAlignment="1" applyProtection="1">
      <alignment vertical="center" shrinkToFit="1"/>
      <protection locked="0"/>
    </xf>
    <xf numFmtId="178" fontId="6" fillId="7" borderId="3" xfId="0" applyNumberFormat="1" applyFont="1" applyFill="1" applyBorder="1" applyAlignment="1" applyProtection="1">
      <alignment horizontal="right" vertical="center" shrinkToFit="1"/>
      <protection locked="0"/>
    </xf>
    <xf numFmtId="193" fontId="6" fillId="8" borderId="3" xfId="0" applyNumberFormat="1" applyFont="1" applyFill="1" applyBorder="1" applyAlignment="1" applyProtection="1">
      <alignment vertical="center" shrinkToFit="1"/>
      <protection locked="0"/>
    </xf>
    <xf numFmtId="180" fontId="6" fillId="8" borderId="3" xfId="0" applyNumberFormat="1" applyFont="1" applyFill="1" applyBorder="1" applyAlignment="1" applyProtection="1">
      <alignment horizontal="right" vertical="center" shrinkToFit="1"/>
      <protection locked="0"/>
    </xf>
    <xf numFmtId="0" fontId="6" fillId="3" borderId="8" xfId="0" applyFont="1" applyFill="1" applyBorder="1" applyAlignment="1" applyProtection="1">
      <alignment horizontal="right" vertical="center" shrinkToFit="1"/>
      <protection locked="0"/>
    </xf>
    <xf numFmtId="188" fontId="6" fillId="8" borderId="3" xfId="0" applyNumberFormat="1" applyFont="1" applyFill="1" applyBorder="1" applyAlignment="1" applyProtection="1">
      <alignment vertical="center" shrinkToFit="1"/>
      <protection locked="0"/>
    </xf>
    <xf numFmtId="0" fontId="6" fillId="8" borderId="3" xfId="0" applyFont="1" applyFill="1" applyBorder="1" applyAlignment="1" applyProtection="1">
      <alignment horizontal="right" vertical="center" shrinkToFit="1"/>
      <protection locked="0"/>
    </xf>
    <xf numFmtId="0" fontId="6" fillId="8" borderId="16" xfId="0" applyFont="1" applyFill="1" applyBorder="1" applyAlignment="1">
      <alignment horizontal="right" vertical="center"/>
    </xf>
    <xf numFmtId="188" fontId="6" fillId="8" borderId="9" xfId="0" applyNumberFormat="1" applyFont="1" applyFill="1" applyBorder="1" applyAlignment="1" applyProtection="1">
      <alignment horizontal="right" vertical="center" shrinkToFit="1"/>
      <protection hidden="1"/>
    </xf>
    <xf numFmtId="0" fontId="6" fillId="3" borderId="131" xfId="0" applyFont="1" applyFill="1" applyBorder="1" applyAlignment="1" applyProtection="1">
      <alignment horizontal="right" vertical="center" shrinkToFit="1"/>
      <protection locked="0"/>
    </xf>
    <xf numFmtId="178" fontId="6" fillId="7" borderId="115" xfId="0" applyNumberFormat="1" applyFont="1" applyFill="1" applyBorder="1" applyAlignment="1" applyProtection="1">
      <alignment horizontal="right" vertical="center" shrinkToFit="1"/>
      <protection locked="0"/>
    </xf>
    <xf numFmtId="193" fontId="6" fillId="8" borderId="115" xfId="0" applyNumberFormat="1" applyFont="1" applyFill="1" applyBorder="1" applyAlignment="1" applyProtection="1">
      <alignment vertical="center" shrinkToFit="1"/>
      <protection locked="0"/>
    </xf>
    <xf numFmtId="193" fontId="6" fillId="8" borderId="64" xfId="0" applyNumberFormat="1" applyFont="1" applyFill="1" applyBorder="1" applyAlignment="1" applyProtection="1">
      <alignment vertical="center" shrinkToFit="1"/>
      <protection hidden="1"/>
    </xf>
    <xf numFmtId="0" fontId="6" fillId="0" borderId="102" xfId="0" applyFont="1" applyBorder="1" applyAlignment="1">
      <alignment vertical="center" shrinkToFit="1"/>
    </xf>
    <xf numFmtId="178" fontId="6" fillId="7" borderId="33" xfId="0" applyNumberFormat="1" applyFont="1" applyFill="1" applyBorder="1" applyAlignment="1">
      <alignment vertical="center" shrinkToFit="1"/>
    </xf>
    <xf numFmtId="191" fontId="6" fillId="3" borderId="34" xfId="0" applyNumberFormat="1" applyFont="1" applyFill="1" applyBorder="1" applyAlignment="1">
      <alignment vertical="center" shrinkToFit="1"/>
    </xf>
    <xf numFmtId="193" fontId="6" fillId="8" borderId="9" xfId="0" applyNumberFormat="1" applyFont="1" applyFill="1" applyBorder="1" applyAlignment="1" applyProtection="1">
      <alignment vertical="center" shrinkToFit="1"/>
      <protection hidden="1"/>
    </xf>
    <xf numFmtId="176" fontId="6" fillId="9" borderId="33" xfId="0" applyNumberFormat="1" applyFont="1" applyFill="1" applyBorder="1" applyAlignment="1">
      <alignment vertical="center" shrinkToFit="1"/>
    </xf>
    <xf numFmtId="190" fontId="5" fillId="9" borderId="86" xfId="0" applyNumberFormat="1" applyFont="1" applyFill="1" applyBorder="1" applyAlignment="1" applyProtection="1">
      <alignment horizontal="center" vertical="center" shrinkToFit="1"/>
      <protection hidden="1"/>
    </xf>
    <xf numFmtId="0" fontId="6" fillId="0" borderId="65" xfId="0" applyFont="1" applyBorder="1" applyAlignment="1">
      <alignment vertical="center" shrinkToFit="1"/>
    </xf>
    <xf numFmtId="178" fontId="6" fillId="7" borderId="3" xfId="0" applyNumberFormat="1" applyFont="1" applyFill="1" applyBorder="1" applyAlignment="1">
      <alignment vertical="center" shrinkToFit="1"/>
    </xf>
    <xf numFmtId="0" fontId="6" fillId="8" borderId="3" xfId="0" applyFont="1" applyFill="1" applyBorder="1" applyAlignment="1">
      <alignment vertical="center" shrinkToFit="1"/>
    </xf>
    <xf numFmtId="191" fontId="6" fillId="3" borderId="8" xfId="0" applyNumberFormat="1" applyFont="1" applyFill="1" applyBorder="1" applyAlignment="1">
      <alignment vertical="center" shrinkToFit="1"/>
    </xf>
    <xf numFmtId="190" fontId="5" fillId="9" borderId="82" xfId="0" applyNumberFormat="1" applyFont="1" applyFill="1" applyBorder="1" applyAlignment="1" applyProtection="1">
      <alignment horizontal="center" vertical="center" shrinkToFit="1"/>
      <protection hidden="1"/>
    </xf>
    <xf numFmtId="176" fontId="6" fillId="8" borderId="9" xfId="0" applyNumberFormat="1" applyFont="1" applyFill="1" applyBorder="1" applyAlignment="1">
      <alignment vertical="center" shrinkToFit="1"/>
    </xf>
    <xf numFmtId="176" fontId="6" fillId="8" borderId="73" xfId="0" applyNumberFormat="1" applyFont="1" applyFill="1" applyBorder="1" applyAlignment="1" applyProtection="1">
      <alignment vertical="center" shrinkToFit="1"/>
      <protection hidden="1"/>
    </xf>
    <xf numFmtId="188" fontId="6" fillId="8" borderId="97" xfId="0" applyNumberFormat="1" applyFont="1" applyFill="1" applyBorder="1" applyAlignment="1" applyProtection="1">
      <alignment vertical="center" shrinkToFit="1"/>
      <protection hidden="1"/>
    </xf>
    <xf numFmtId="180" fontId="6" fillId="9" borderId="73" xfId="0" applyNumberFormat="1" applyFont="1" applyFill="1" applyBorder="1" applyAlignment="1" applyProtection="1">
      <alignment vertical="center" shrinkToFit="1"/>
      <protection hidden="1"/>
    </xf>
    <xf numFmtId="176" fontId="6" fillId="9" borderId="73" xfId="0" applyNumberFormat="1" applyFont="1" applyFill="1" applyBorder="1" applyAlignment="1" applyProtection="1">
      <alignment vertical="center" shrinkToFit="1"/>
      <protection hidden="1"/>
    </xf>
    <xf numFmtId="0" fontId="6" fillId="8" borderId="130" xfId="0" applyFont="1" applyFill="1" applyBorder="1" applyAlignment="1" applyProtection="1">
      <alignment horizontal="right" vertical="center"/>
      <protection locked="0"/>
    </xf>
    <xf numFmtId="188" fontId="6" fillId="8" borderId="129" xfId="0" applyNumberFormat="1" applyFont="1" applyFill="1" applyBorder="1" applyAlignment="1" applyProtection="1">
      <alignment horizontal="right" vertical="center" shrinkToFit="1"/>
      <protection locked="0"/>
    </xf>
    <xf numFmtId="0" fontId="6" fillId="9" borderId="115" xfId="0" applyFont="1" applyFill="1" applyBorder="1" applyAlignment="1" applyProtection="1">
      <alignment horizontal="center" vertical="center" shrinkToFit="1"/>
      <protection locked="0"/>
    </xf>
    <xf numFmtId="190" fontId="5" fillId="9" borderId="119" xfId="0" applyNumberFormat="1" applyFont="1" applyFill="1" applyBorder="1" applyAlignment="1" applyProtection="1">
      <alignment horizontal="center" vertical="center" shrinkToFit="1"/>
      <protection locked="0"/>
    </xf>
    <xf numFmtId="190" fontId="5" fillId="9" borderId="133" xfId="0" applyNumberFormat="1" applyFont="1" applyFill="1" applyBorder="1" applyAlignment="1" applyProtection="1">
      <alignment horizontal="center" vertical="center" shrinkToFit="1"/>
      <protection locked="0"/>
    </xf>
    <xf numFmtId="176" fontId="6" fillId="8" borderId="16" xfId="0" applyNumberFormat="1" applyFont="1" applyFill="1" applyBorder="1" applyAlignment="1" applyProtection="1">
      <alignment horizontal="right" vertical="center"/>
      <protection locked="0"/>
    </xf>
    <xf numFmtId="188" fontId="6" fillId="8" borderId="9" xfId="0" applyNumberFormat="1" applyFont="1" applyFill="1" applyBorder="1" applyAlignment="1" applyProtection="1">
      <alignment horizontal="right" vertical="center" shrinkToFit="1"/>
      <protection locked="0"/>
    </xf>
    <xf numFmtId="0" fontId="6" fillId="9" borderId="3" xfId="0" applyFont="1" applyFill="1" applyBorder="1" applyAlignment="1" applyProtection="1">
      <alignment horizontal="center" vertical="center" shrinkToFit="1"/>
      <protection locked="0"/>
    </xf>
    <xf numFmtId="190" fontId="5" fillId="9" borderId="70" xfId="0" applyNumberFormat="1" applyFont="1" applyFill="1" applyBorder="1" applyAlignment="1" applyProtection="1">
      <alignment horizontal="center" vertical="center" shrinkToFit="1"/>
      <protection locked="0"/>
    </xf>
    <xf numFmtId="190" fontId="5" fillId="9" borderId="82" xfId="0" applyNumberFormat="1" applyFont="1" applyFill="1" applyBorder="1" applyAlignment="1" applyProtection="1">
      <alignment horizontal="center" vertical="center" shrinkToFit="1"/>
      <protection locked="0"/>
    </xf>
    <xf numFmtId="0" fontId="6" fillId="8" borderId="3" xfId="0" applyFont="1" applyFill="1" applyBorder="1" applyAlignment="1" applyProtection="1">
      <alignment horizontal="center" vertical="center" shrinkToFit="1"/>
      <protection locked="0"/>
    </xf>
    <xf numFmtId="178" fontId="6" fillId="7" borderId="3" xfId="0" applyNumberFormat="1" applyFont="1" applyFill="1" applyBorder="1" applyAlignment="1" applyProtection="1">
      <alignment vertical="center" shrinkToFit="1"/>
      <protection locked="0"/>
    </xf>
    <xf numFmtId="188" fontId="6" fillId="8" borderId="1" xfId="0" applyNumberFormat="1" applyFont="1" applyFill="1" applyBorder="1" applyAlignment="1" applyProtection="1">
      <alignment vertical="center" shrinkToFit="1"/>
      <protection locked="0"/>
    </xf>
    <xf numFmtId="193" fontId="6" fillId="2" borderId="33" xfId="0" applyNumberFormat="1" applyFont="1" applyFill="1" applyBorder="1" applyAlignment="1" applyProtection="1">
      <alignment vertical="center" shrinkToFit="1"/>
      <protection hidden="1"/>
    </xf>
    <xf numFmtId="0" fontId="6" fillId="2" borderId="33" xfId="0" applyFont="1" applyFill="1" applyBorder="1" applyAlignment="1">
      <alignment vertical="center" shrinkToFit="1"/>
    </xf>
    <xf numFmtId="180" fontId="6" fillId="8" borderId="47" xfId="0" applyNumberFormat="1" applyFont="1" applyFill="1" applyBorder="1" applyAlignment="1">
      <alignment vertical="center" shrinkToFit="1"/>
    </xf>
    <xf numFmtId="180" fontId="6" fillId="9" borderId="33" xfId="0" applyNumberFormat="1" applyFont="1" applyFill="1" applyBorder="1" applyAlignment="1">
      <alignment vertical="center" shrinkToFit="1"/>
    </xf>
    <xf numFmtId="190" fontId="5" fillId="9" borderId="69" xfId="0" applyNumberFormat="1" applyFont="1" applyFill="1" applyBorder="1" applyAlignment="1">
      <alignment horizontal="center" vertical="center" shrinkToFit="1"/>
    </xf>
    <xf numFmtId="193" fontId="6" fillId="2" borderId="3" xfId="0" applyNumberFormat="1" applyFont="1" applyFill="1" applyBorder="1" applyAlignment="1" applyProtection="1">
      <alignment vertical="center" shrinkToFit="1"/>
      <protection hidden="1"/>
    </xf>
    <xf numFmtId="0" fontId="6" fillId="2" borderId="3" xfId="0" applyFont="1" applyFill="1" applyBorder="1" applyAlignment="1">
      <alignment vertical="center" shrinkToFit="1"/>
    </xf>
    <xf numFmtId="180" fontId="6" fillId="8" borderId="9" xfId="0" applyNumberFormat="1" applyFont="1" applyFill="1" applyBorder="1" applyAlignment="1">
      <alignment vertical="center" shrinkToFit="1"/>
    </xf>
    <xf numFmtId="190" fontId="5" fillId="9" borderId="70" xfId="0" applyNumberFormat="1" applyFont="1" applyFill="1" applyBorder="1" applyAlignment="1">
      <alignment horizontal="center" vertical="center" shrinkToFit="1"/>
    </xf>
    <xf numFmtId="0" fontId="6" fillId="0" borderId="107" xfId="0" applyFont="1" applyBorder="1" applyAlignment="1">
      <alignment vertical="center" shrinkToFit="1"/>
    </xf>
    <xf numFmtId="178" fontId="6" fillId="7" borderId="90" xfId="0" applyNumberFormat="1" applyFont="1" applyFill="1" applyBorder="1" applyAlignment="1" applyProtection="1">
      <alignment horizontal="right" vertical="center" shrinkToFit="1"/>
      <protection hidden="1"/>
    </xf>
    <xf numFmtId="193" fontId="6" fillId="2" borderId="90" xfId="0" applyNumberFormat="1" applyFont="1" applyFill="1" applyBorder="1" applyAlignment="1" applyProtection="1">
      <alignment vertical="center" shrinkToFit="1"/>
      <protection hidden="1"/>
    </xf>
    <xf numFmtId="0" fontId="6" fillId="2" borderId="90" xfId="0" applyFont="1" applyFill="1" applyBorder="1" applyAlignment="1">
      <alignment vertical="center" shrinkToFit="1"/>
    </xf>
    <xf numFmtId="191" fontId="6" fillId="3" borderId="93" xfId="0" applyNumberFormat="1" applyFont="1" applyFill="1" applyBorder="1" applyAlignment="1">
      <alignment vertical="center" shrinkToFit="1"/>
    </xf>
    <xf numFmtId="178" fontId="6" fillId="7" borderId="90" xfId="0" applyNumberFormat="1" applyFont="1" applyFill="1" applyBorder="1" applyAlignment="1">
      <alignment vertical="center" shrinkToFit="1"/>
    </xf>
    <xf numFmtId="193" fontId="6" fillId="8" borderId="90" xfId="0" applyNumberFormat="1" applyFont="1" applyFill="1" applyBorder="1" applyAlignment="1" applyProtection="1">
      <alignment vertical="center" shrinkToFit="1"/>
      <protection hidden="1"/>
    </xf>
    <xf numFmtId="180" fontId="6" fillId="8" borderId="108" xfId="0" applyNumberFormat="1" applyFont="1" applyFill="1" applyBorder="1" applyAlignment="1">
      <alignment vertical="center" shrinkToFit="1"/>
    </xf>
    <xf numFmtId="180" fontId="6" fillId="9" borderId="90" xfId="0" applyNumberFormat="1" applyFont="1" applyFill="1" applyBorder="1" applyAlignment="1">
      <alignment vertical="center" shrinkToFit="1"/>
    </xf>
    <xf numFmtId="176" fontId="6" fillId="9" borderId="90" xfId="0" applyNumberFormat="1" applyFont="1" applyFill="1" applyBorder="1" applyAlignment="1">
      <alignment vertical="center" shrinkToFit="1"/>
    </xf>
    <xf numFmtId="190" fontId="5" fillId="9" borderId="111" xfId="0" applyNumberFormat="1" applyFont="1" applyFill="1" applyBorder="1" applyAlignment="1">
      <alignment horizontal="center" vertical="center" shrinkToFit="1"/>
    </xf>
    <xf numFmtId="0" fontId="6" fillId="0" borderId="94" xfId="0" applyFont="1" applyBorder="1" applyAlignment="1">
      <alignment vertical="center" shrinkToFit="1"/>
    </xf>
    <xf numFmtId="0" fontId="6" fillId="0" borderId="0" xfId="0" applyFont="1" applyAlignment="1">
      <alignment horizontal="left" vertical="center" shrinkToFit="1"/>
    </xf>
    <xf numFmtId="0" fontId="5" fillId="0" borderId="0" xfId="0" applyFont="1" applyAlignment="1" applyProtection="1">
      <alignment horizontal="center" vertical="center" shrinkToFit="1"/>
      <protection hidden="1"/>
    </xf>
    <xf numFmtId="193" fontId="6" fillId="0" borderId="0" xfId="0" applyNumberFormat="1" applyFont="1">
      <alignment vertical="center"/>
    </xf>
    <xf numFmtId="49" fontId="6" fillId="0" borderId="0" xfId="0" applyNumberFormat="1" applyFont="1" applyAlignment="1" applyProtection="1">
      <alignment vertical="center" shrinkToFit="1"/>
      <protection hidden="1"/>
    </xf>
    <xf numFmtId="187" fontId="6" fillId="0" borderId="0" xfId="0" applyNumberFormat="1" applyFont="1" applyAlignment="1" applyProtection="1">
      <alignment vertical="center" shrinkToFit="1"/>
      <protection hidden="1"/>
    </xf>
    <xf numFmtId="193" fontId="6" fillId="0" borderId="0" xfId="0" applyNumberFormat="1" applyFont="1" applyAlignment="1" applyProtection="1">
      <alignment vertical="center" shrinkToFit="1"/>
      <protection hidden="1"/>
    </xf>
    <xf numFmtId="187" fontId="6" fillId="0" borderId="0" xfId="0" applyNumberFormat="1" applyFont="1" applyAlignment="1" applyProtection="1">
      <alignment vertical="center" wrapText="1" shrinkToFit="1"/>
      <protection hidden="1"/>
    </xf>
    <xf numFmtId="187" fontId="6" fillId="0" borderId="0" xfId="0" applyNumberFormat="1" applyFont="1" applyAlignment="1" applyProtection="1">
      <alignment horizontal="center" vertical="center" wrapText="1" shrinkToFit="1"/>
      <protection hidden="1"/>
    </xf>
    <xf numFmtId="189" fontId="6" fillId="0" borderId="0" xfId="0" applyNumberFormat="1" applyFont="1" applyAlignment="1" applyProtection="1">
      <alignment vertical="center" shrinkToFit="1"/>
      <protection hidden="1"/>
    </xf>
    <xf numFmtId="0" fontId="5" fillId="0" borderId="0" xfId="0" applyFont="1" applyAlignment="1">
      <alignment horizontal="right" vertical="center" shrinkToFit="1"/>
    </xf>
    <xf numFmtId="190" fontId="6" fillId="0" borderId="0" xfId="0" applyNumberFormat="1" applyFont="1" applyAlignment="1">
      <alignment vertical="center" shrinkToFit="1"/>
    </xf>
    <xf numFmtId="14" fontId="6" fillId="0" borderId="0" xfId="0" applyNumberFormat="1" applyFont="1" applyAlignment="1" applyProtection="1">
      <alignment horizontal="center" vertical="center" shrinkToFit="1"/>
      <protection locked="0"/>
    </xf>
    <xf numFmtId="14" fontId="6" fillId="0" borderId="0" xfId="0" applyNumberFormat="1" applyFont="1" applyAlignment="1" applyProtection="1">
      <alignment vertical="center" shrinkToFit="1"/>
      <protection locked="0"/>
    </xf>
    <xf numFmtId="193" fontId="6" fillId="0" borderId="0" xfId="0" applyNumberFormat="1" applyFont="1" applyAlignment="1" applyProtection="1">
      <alignment vertical="center" shrinkToFit="1"/>
      <protection locked="0"/>
    </xf>
    <xf numFmtId="190" fontId="5" fillId="0" borderId="0" xfId="0" applyNumberFormat="1" applyFont="1" applyAlignment="1">
      <alignment horizontal="left" vertical="center"/>
    </xf>
    <xf numFmtId="0" fontId="5" fillId="0" borderId="0" xfId="0" applyFont="1" applyAlignment="1">
      <alignment vertical="center" shrinkToFit="1"/>
    </xf>
    <xf numFmtId="193" fontId="4" fillId="0" borderId="0" xfId="0" applyNumberFormat="1" applyFont="1">
      <alignment vertical="center"/>
    </xf>
    <xf numFmtId="0" fontId="7" fillId="0" borderId="0" xfId="0" applyFont="1" applyAlignment="1">
      <alignment horizontal="center" vertical="center"/>
    </xf>
    <xf numFmtId="0" fontId="6" fillId="0" borderId="125" xfId="0" applyFont="1" applyBorder="1" applyAlignment="1">
      <alignment horizontal="center" vertical="center"/>
    </xf>
    <xf numFmtId="0" fontId="6" fillId="0" borderId="124" xfId="0" applyFont="1" applyBorder="1" applyAlignment="1">
      <alignment horizontal="left" vertical="center"/>
    </xf>
    <xf numFmtId="176" fontId="6" fillId="0" borderId="0" xfId="0" applyNumberFormat="1" applyFont="1">
      <alignment vertical="center"/>
    </xf>
    <xf numFmtId="0" fontId="6" fillId="0" borderId="123" xfId="0" applyFont="1" applyBorder="1" applyAlignment="1">
      <alignment horizontal="left" vertical="center"/>
    </xf>
    <xf numFmtId="0" fontId="6" fillId="0" borderId="125" xfId="0" applyFont="1" applyBorder="1">
      <alignment vertical="center"/>
    </xf>
    <xf numFmtId="0" fontId="6" fillId="0" borderId="44" xfId="0" applyFont="1" applyBorder="1" applyAlignment="1">
      <alignment horizontal="left" vertical="center"/>
    </xf>
    <xf numFmtId="198" fontId="6" fillId="0" borderId="0" xfId="0" applyNumberFormat="1" applyFont="1" applyAlignment="1">
      <alignment horizontal="center" vertical="center"/>
    </xf>
    <xf numFmtId="0" fontId="6" fillId="0" borderId="123" xfId="0" applyFont="1" applyBorder="1" applyProtection="1">
      <alignment vertical="center"/>
      <protection hidden="1"/>
    </xf>
    <xf numFmtId="198" fontId="6" fillId="0" borderId="125" xfId="0" applyNumberFormat="1" applyFont="1" applyBorder="1" applyAlignment="1">
      <alignment horizontal="center" vertical="center"/>
    </xf>
    <xf numFmtId="0" fontId="6" fillId="0" borderId="124" xfId="0" applyFont="1" applyBorder="1">
      <alignment vertical="center"/>
    </xf>
    <xf numFmtId="0" fontId="6" fillId="0" borderId="123" xfId="0" applyFont="1" applyBorder="1" applyAlignment="1">
      <alignment horizontal="center" vertical="center"/>
    </xf>
    <xf numFmtId="0" fontId="6" fillId="0" borderId="120" xfId="0" applyFont="1" applyBorder="1">
      <alignment vertical="center"/>
    </xf>
    <xf numFmtId="179" fontId="6" fillId="0" borderId="121" xfId="0" applyNumberFormat="1" applyFont="1" applyBorder="1" applyAlignment="1">
      <alignment horizontal="center" vertical="center"/>
    </xf>
    <xf numFmtId="0" fontId="6" fillId="0" borderId="122" xfId="0" applyFont="1" applyBorder="1">
      <alignment vertical="center"/>
    </xf>
    <xf numFmtId="0" fontId="7" fillId="0" borderId="58" xfId="0" applyFont="1" applyBorder="1" applyAlignment="1">
      <alignment horizontal="center" vertical="center"/>
    </xf>
    <xf numFmtId="179" fontId="7" fillId="0" borderId="37" xfId="0" applyNumberFormat="1" applyFont="1" applyBorder="1" applyAlignment="1">
      <alignment horizontal="center" vertical="center"/>
    </xf>
    <xf numFmtId="0" fontId="7" fillId="0" borderId="40" xfId="0" applyFont="1" applyBorder="1">
      <alignment vertical="center"/>
    </xf>
    <xf numFmtId="179" fontId="7" fillId="0" borderId="58" xfId="0" applyNumberFormat="1" applyFont="1" applyBorder="1" applyAlignment="1">
      <alignment horizontal="center" vertical="center"/>
    </xf>
    <xf numFmtId="0" fontId="7" fillId="0" borderId="59" xfId="0" applyFont="1" applyBorder="1">
      <alignment vertical="center"/>
    </xf>
    <xf numFmtId="0" fontId="7" fillId="0" borderId="35" xfId="0" applyFont="1" applyBorder="1" applyProtection="1">
      <alignment vertical="center"/>
      <protection hidden="1"/>
    </xf>
    <xf numFmtId="179" fontId="7" fillId="0" borderId="0" xfId="0" applyNumberFormat="1" applyFont="1" applyAlignment="1">
      <alignment horizontal="center" vertical="center"/>
    </xf>
    <xf numFmtId="0" fontId="7" fillId="0" borderId="41" xfId="0" applyFont="1" applyBorder="1">
      <alignment vertical="center"/>
    </xf>
    <xf numFmtId="0" fontId="7" fillId="0" borderId="41" xfId="0" applyFont="1" applyBorder="1" applyAlignment="1">
      <alignment horizontal="left" vertical="center"/>
    </xf>
    <xf numFmtId="0" fontId="7" fillId="0" borderId="44" xfId="0" applyFont="1" applyBorder="1" applyProtection="1">
      <alignment vertical="center"/>
      <protection hidden="1"/>
    </xf>
    <xf numFmtId="179" fontId="7" fillId="0" borderId="36" xfId="0" applyNumberFormat="1" applyFont="1" applyBorder="1" applyAlignment="1">
      <alignment horizontal="center" vertical="center"/>
    </xf>
    <xf numFmtId="0" fontId="7" fillId="0" borderId="60" xfId="0" applyFont="1" applyBorder="1">
      <alignment vertical="center"/>
    </xf>
    <xf numFmtId="0" fontId="7" fillId="0" borderId="45" xfId="0" applyFont="1" applyBorder="1" applyAlignment="1">
      <alignment horizontal="center" vertical="center"/>
    </xf>
    <xf numFmtId="0" fontId="7" fillId="0" borderId="59" xfId="0" applyFont="1" applyBorder="1" applyAlignment="1">
      <alignment horizontal="center" vertical="center"/>
    </xf>
    <xf numFmtId="0" fontId="7" fillId="0" borderId="44" xfId="0" applyFont="1" applyBorder="1">
      <alignment vertical="center"/>
    </xf>
    <xf numFmtId="0" fontId="7" fillId="0" borderId="43" xfId="0" applyFont="1" applyBorder="1">
      <alignment vertical="center"/>
    </xf>
    <xf numFmtId="0" fontId="7" fillId="0" borderId="35" xfId="0" applyFont="1" applyBorder="1" applyAlignment="1">
      <alignment horizontal="center" vertical="center"/>
    </xf>
    <xf numFmtId="0" fontId="7" fillId="0" borderId="44" xfId="0" applyFont="1" applyBorder="1" applyAlignment="1">
      <alignment horizontal="center" vertical="center"/>
    </xf>
    <xf numFmtId="0" fontId="7" fillId="0" borderId="0" xfId="0" applyFont="1" applyAlignment="1">
      <alignment horizontal="left" vertical="center"/>
    </xf>
    <xf numFmtId="0" fontId="7" fillId="0" borderId="120" xfId="0" applyFont="1" applyBorder="1" applyAlignment="1">
      <alignment horizontal="center" vertical="center"/>
    </xf>
    <xf numFmtId="0" fontId="7" fillId="0" borderId="121" xfId="0" applyFont="1" applyBorder="1" applyAlignment="1">
      <alignment horizontal="center" vertical="center"/>
    </xf>
    <xf numFmtId="0" fontId="7" fillId="0" borderId="122" xfId="0" applyFont="1" applyBorder="1" applyAlignment="1">
      <alignment horizontal="center" vertical="center"/>
    </xf>
    <xf numFmtId="179" fontId="7" fillId="0" borderId="121" xfId="0" applyNumberFormat="1" applyFont="1" applyBorder="1" applyAlignment="1">
      <alignment horizontal="center" vertical="center"/>
    </xf>
    <xf numFmtId="0" fontId="7" fillId="0" borderId="122" xfId="0" applyFont="1" applyBorder="1" applyAlignment="1">
      <alignment vertical="center" shrinkToFit="1"/>
    </xf>
    <xf numFmtId="0" fontId="7" fillId="0" borderId="123" xfId="0" applyFont="1" applyBorder="1" applyProtection="1">
      <alignment vertical="center"/>
      <protection hidden="1"/>
    </xf>
    <xf numFmtId="179" fontId="7" fillId="0" borderId="125" xfId="0" applyNumberFormat="1" applyFont="1" applyBorder="1" applyAlignment="1">
      <alignment horizontal="center" vertical="center"/>
    </xf>
    <xf numFmtId="0" fontId="7" fillId="0" borderId="125" xfId="0" applyFont="1" applyBorder="1" applyAlignment="1">
      <alignment horizontal="center" vertical="center"/>
    </xf>
    <xf numFmtId="0" fontId="7" fillId="0" borderId="124" xfId="0" applyFont="1" applyBorder="1">
      <alignment vertical="center"/>
    </xf>
    <xf numFmtId="0" fontId="7" fillId="0" borderId="36" xfId="0" applyFont="1" applyBorder="1" applyAlignment="1">
      <alignment horizontal="center" vertical="center"/>
    </xf>
    <xf numFmtId="0" fontId="6" fillId="0" borderId="123" xfId="0" applyFont="1" applyBorder="1" applyAlignment="1">
      <alignment vertical="center" shrinkToFit="1"/>
    </xf>
    <xf numFmtId="0" fontId="6" fillId="0" borderId="125" xfId="0" applyFont="1" applyBorder="1" applyAlignment="1">
      <alignment vertical="center" shrinkToFit="1"/>
    </xf>
    <xf numFmtId="0" fontId="7" fillId="0" borderId="123" xfId="0" applyFont="1" applyBorder="1">
      <alignment vertical="center"/>
    </xf>
    <xf numFmtId="0" fontId="7" fillId="0" borderId="124" xfId="0" applyFont="1" applyBorder="1" applyAlignment="1">
      <alignment horizontal="left" vertical="center"/>
    </xf>
    <xf numFmtId="0" fontId="7" fillId="0" borderId="60" xfId="0" applyFont="1" applyBorder="1" applyAlignment="1">
      <alignment horizontal="left" vertical="center"/>
    </xf>
    <xf numFmtId="190" fontId="8" fillId="0" borderId="0" xfId="0" applyNumberFormat="1" applyFont="1" applyAlignment="1">
      <alignment horizontal="center" vertical="center" shrinkToFit="1"/>
    </xf>
    <xf numFmtId="0" fontId="13" fillId="5" borderId="61" xfId="0" applyFont="1" applyFill="1" applyBorder="1" applyAlignment="1">
      <alignment horizontal="center" vertical="center"/>
    </xf>
    <xf numFmtId="190" fontId="8" fillId="7" borderId="18" xfId="0" applyNumberFormat="1" applyFont="1" applyFill="1" applyBorder="1" applyAlignment="1" applyProtection="1">
      <alignment horizontal="center" vertical="center" shrinkToFit="1"/>
      <protection hidden="1"/>
    </xf>
    <xf numFmtId="0" fontId="13" fillId="3" borderId="99" xfId="0" applyFont="1" applyFill="1" applyBorder="1" applyAlignment="1" applyProtection="1">
      <alignment horizontal="center" vertical="center" shrinkToFit="1"/>
      <protection hidden="1"/>
    </xf>
    <xf numFmtId="190" fontId="8" fillId="7" borderId="6" xfId="0" applyNumberFormat="1" applyFont="1" applyFill="1" applyBorder="1" applyAlignment="1" applyProtection="1">
      <alignment horizontal="center" vertical="center" shrinkToFit="1"/>
      <protection hidden="1"/>
    </xf>
    <xf numFmtId="190" fontId="8" fillId="7" borderId="6" xfId="0" applyNumberFormat="1" applyFont="1" applyFill="1" applyBorder="1" applyAlignment="1" applyProtection="1">
      <alignment horizontal="center" vertical="center" shrinkToFit="1"/>
      <protection locked="0" hidden="1"/>
    </xf>
    <xf numFmtId="0" fontId="13" fillId="3" borderId="99" xfId="0" applyFont="1" applyFill="1" applyBorder="1" applyAlignment="1">
      <alignment horizontal="center" vertical="center" shrinkToFit="1"/>
    </xf>
    <xf numFmtId="190" fontId="8" fillId="7" borderId="31" xfId="0" applyNumberFormat="1" applyFont="1" applyFill="1" applyBorder="1" applyAlignment="1" applyProtection="1">
      <alignment horizontal="center" vertical="center" shrinkToFit="1"/>
      <protection hidden="1"/>
    </xf>
    <xf numFmtId="190" fontId="8" fillId="7" borderId="11" xfId="0" applyNumberFormat="1" applyFont="1" applyFill="1" applyBorder="1" applyAlignment="1" applyProtection="1">
      <alignment horizontal="center" vertical="center" shrinkToFit="1"/>
      <protection locked="0" hidden="1"/>
    </xf>
    <xf numFmtId="190" fontId="8" fillId="7" borderId="6" xfId="0" applyNumberFormat="1" applyFont="1" applyFill="1" applyBorder="1" applyAlignment="1">
      <alignment horizontal="center" vertical="center" shrinkToFit="1"/>
    </xf>
    <xf numFmtId="190" fontId="8" fillId="7" borderId="74" xfId="0" applyNumberFormat="1" applyFont="1" applyFill="1" applyBorder="1" applyAlignment="1" applyProtection="1">
      <alignment horizontal="center" vertical="center" shrinkToFit="1"/>
      <protection locked="0" hidden="1"/>
    </xf>
    <xf numFmtId="190" fontId="8" fillId="7" borderId="74" xfId="0" applyNumberFormat="1" applyFont="1" applyFill="1" applyBorder="1" applyAlignment="1" applyProtection="1">
      <alignment horizontal="center" vertical="center" shrinkToFit="1"/>
      <protection hidden="1"/>
    </xf>
    <xf numFmtId="190" fontId="8" fillId="7" borderId="11" xfId="0" applyNumberFormat="1" applyFont="1" applyFill="1" applyBorder="1" applyAlignment="1" applyProtection="1">
      <alignment horizontal="center" vertical="center" shrinkToFit="1"/>
      <protection hidden="1"/>
    </xf>
    <xf numFmtId="190" fontId="8" fillId="7" borderId="6" xfId="0" applyNumberFormat="1" applyFont="1" applyFill="1" applyBorder="1" applyAlignment="1" applyProtection="1">
      <alignment horizontal="center" vertical="center" shrinkToFit="1"/>
      <protection locked="0"/>
    </xf>
    <xf numFmtId="190" fontId="8" fillId="7" borderId="2" xfId="0" applyNumberFormat="1" applyFont="1" applyFill="1" applyBorder="1" applyAlignment="1">
      <alignment horizontal="center" vertical="center" shrinkToFit="1"/>
    </xf>
    <xf numFmtId="190" fontId="8" fillId="7" borderId="127" xfId="0" applyNumberFormat="1" applyFont="1" applyFill="1" applyBorder="1" applyAlignment="1" applyProtection="1">
      <alignment horizontal="center" vertical="center" shrinkToFit="1"/>
      <protection locked="0"/>
    </xf>
    <xf numFmtId="190" fontId="8" fillId="7" borderId="11" xfId="0" applyNumberFormat="1" applyFont="1" applyFill="1" applyBorder="1" applyAlignment="1">
      <alignment horizontal="center" vertical="center" shrinkToFit="1"/>
    </xf>
    <xf numFmtId="190" fontId="8" fillId="7" borderId="31" xfId="0" applyNumberFormat="1" applyFont="1" applyFill="1" applyBorder="1" applyAlignment="1">
      <alignment horizontal="center" vertical="center" shrinkToFit="1"/>
    </xf>
    <xf numFmtId="190" fontId="8" fillId="7" borderId="91" xfId="0" applyNumberFormat="1" applyFont="1" applyFill="1" applyBorder="1" applyAlignment="1">
      <alignment horizontal="center" vertical="center" shrinkToFit="1"/>
    </xf>
    <xf numFmtId="190" fontId="8" fillId="0" borderId="0" xfId="0" applyNumberFormat="1" applyFont="1" applyAlignment="1" applyProtection="1">
      <alignment horizontal="center" vertical="center" shrinkToFit="1"/>
      <protection hidden="1"/>
    </xf>
    <xf numFmtId="0" fontId="13" fillId="0" borderId="0" xfId="0" applyFont="1" applyAlignment="1">
      <alignment horizontal="center" vertical="center"/>
    </xf>
    <xf numFmtId="190" fontId="8" fillId="8" borderId="32" xfId="0" applyNumberFormat="1" applyFont="1" applyFill="1" applyBorder="1" applyAlignment="1" applyProtection="1">
      <alignment horizontal="center" vertical="center" shrinkToFit="1"/>
      <protection hidden="1"/>
    </xf>
    <xf numFmtId="190" fontId="8" fillId="8" borderId="6" xfId="0" applyNumberFormat="1" applyFont="1" applyFill="1" applyBorder="1" applyAlignment="1" applyProtection="1">
      <alignment horizontal="center" vertical="center" shrinkToFit="1"/>
      <protection hidden="1"/>
    </xf>
    <xf numFmtId="190" fontId="8" fillId="8" borderId="7" xfId="0" applyNumberFormat="1" applyFont="1" applyFill="1" applyBorder="1" applyAlignment="1" applyProtection="1">
      <alignment horizontal="center" vertical="center" shrinkToFit="1"/>
      <protection hidden="1"/>
    </xf>
    <xf numFmtId="190" fontId="8" fillId="8" borderId="7" xfId="0" applyNumberFormat="1" applyFont="1" applyFill="1" applyBorder="1" applyAlignment="1" applyProtection="1">
      <alignment horizontal="center" vertical="center" shrinkToFit="1"/>
      <protection locked="0" hidden="1"/>
    </xf>
    <xf numFmtId="190" fontId="8" fillId="8" borderId="30" xfId="0" applyNumberFormat="1" applyFont="1" applyFill="1" applyBorder="1" applyAlignment="1">
      <alignment horizontal="center" vertical="center" shrinkToFit="1"/>
    </xf>
    <xf numFmtId="190" fontId="8" fillId="8" borderId="7" xfId="0" applyNumberFormat="1" applyFont="1" applyFill="1" applyBorder="1" applyAlignment="1">
      <alignment horizontal="center" vertical="center" shrinkToFit="1"/>
    </xf>
    <xf numFmtId="190" fontId="8" fillId="8" borderId="4" xfId="0" applyNumberFormat="1" applyFont="1" applyFill="1" applyBorder="1" applyAlignment="1" applyProtection="1">
      <alignment horizontal="center" vertical="center" shrinkToFit="1"/>
      <protection hidden="1"/>
    </xf>
    <xf numFmtId="190" fontId="8" fillId="8" borderId="30" xfId="0" applyNumberFormat="1" applyFont="1" applyFill="1" applyBorder="1" applyAlignment="1" applyProtection="1">
      <alignment horizontal="center" vertical="center" shrinkToFit="1"/>
      <protection locked="0" hidden="1"/>
    </xf>
    <xf numFmtId="190" fontId="8" fillId="8" borderId="96" xfId="0" applyNumberFormat="1" applyFont="1" applyFill="1" applyBorder="1" applyAlignment="1" applyProtection="1">
      <alignment horizontal="center" vertical="center" shrinkToFit="1"/>
      <protection locked="0" hidden="1"/>
    </xf>
    <xf numFmtId="190" fontId="8" fillId="8" borderId="96" xfId="0" applyNumberFormat="1" applyFont="1" applyFill="1" applyBorder="1" applyAlignment="1" applyProtection="1">
      <alignment horizontal="center" vertical="center" shrinkToFit="1"/>
      <protection hidden="1"/>
    </xf>
    <xf numFmtId="190" fontId="8" fillId="8" borderId="12" xfId="0" applyNumberFormat="1" applyFont="1" applyFill="1" applyBorder="1" applyAlignment="1" applyProtection="1">
      <alignment horizontal="center" vertical="center" shrinkToFit="1"/>
      <protection hidden="1"/>
    </xf>
    <xf numFmtId="190" fontId="8" fillId="8" borderId="7" xfId="0" applyNumberFormat="1" applyFont="1" applyFill="1" applyBorder="1" applyAlignment="1" applyProtection="1">
      <alignment horizontal="center" vertical="center" shrinkToFit="1"/>
      <protection locked="0"/>
    </xf>
    <xf numFmtId="190" fontId="8" fillId="8" borderId="117" xfId="0" applyNumberFormat="1" applyFont="1" applyFill="1" applyBorder="1" applyAlignment="1" applyProtection="1">
      <alignment horizontal="center" vertical="center" shrinkToFit="1"/>
      <protection locked="0"/>
    </xf>
    <xf numFmtId="190" fontId="8" fillId="2" borderId="30" xfId="0" applyNumberFormat="1" applyFont="1" applyFill="1" applyBorder="1" applyAlignment="1">
      <alignment horizontal="center" vertical="center" shrinkToFit="1"/>
    </xf>
    <xf numFmtId="190" fontId="8" fillId="2" borderId="7" xfId="0" applyNumberFormat="1" applyFont="1" applyFill="1" applyBorder="1" applyAlignment="1">
      <alignment horizontal="center" vertical="center" shrinkToFit="1"/>
    </xf>
    <xf numFmtId="190" fontId="8" fillId="2" borderId="92" xfId="0" applyNumberFormat="1" applyFont="1" applyFill="1" applyBorder="1" applyAlignment="1">
      <alignment horizontal="center" vertical="center" shrinkToFit="1"/>
    </xf>
    <xf numFmtId="0" fontId="7" fillId="0" borderId="0" xfId="0" applyFont="1" applyAlignment="1">
      <alignment horizontal="center" vertical="center" shrinkToFit="1"/>
    </xf>
    <xf numFmtId="190" fontId="8" fillId="7" borderId="2" xfId="0" applyNumberFormat="1" applyFont="1" applyFill="1" applyBorder="1" applyAlignment="1" applyProtection="1">
      <alignment horizontal="center" vertical="center" shrinkToFit="1"/>
      <protection hidden="1"/>
    </xf>
    <xf numFmtId="190" fontId="8" fillId="7" borderId="91" xfId="0" applyNumberFormat="1" applyFont="1" applyFill="1" applyBorder="1" applyAlignment="1" applyProtection="1">
      <alignment horizontal="center" vertical="center" shrinkToFit="1"/>
      <protection hidden="1"/>
    </xf>
    <xf numFmtId="49" fontId="7" fillId="0" borderId="0" xfId="0" applyNumberFormat="1" applyFont="1" applyAlignment="1" applyProtection="1">
      <alignment horizontal="center" vertical="center"/>
      <protection hidden="1"/>
    </xf>
    <xf numFmtId="190" fontId="8" fillId="0" borderId="0" xfId="0" applyNumberFormat="1" applyFont="1">
      <alignment vertical="center"/>
    </xf>
    <xf numFmtId="0" fontId="8" fillId="0" borderId="0" xfId="0" applyFont="1">
      <alignment vertical="center"/>
    </xf>
    <xf numFmtId="190" fontId="8" fillId="0" borderId="0" xfId="0" applyNumberFormat="1" applyFont="1" applyAlignment="1">
      <alignment vertical="center" shrinkToFit="1"/>
    </xf>
    <xf numFmtId="190" fontId="8" fillId="0" borderId="0" xfId="0" applyNumberFormat="1" applyFont="1" applyAlignment="1">
      <alignment horizontal="center" vertical="center"/>
    </xf>
    <xf numFmtId="190" fontId="8" fillId="8" borderId="19" xfId="0" applyNumberFormat="1" applyFont="1" applyFill="1" applyBorder="1" applyAlignment="1" applyProtection="1">
      <alignment horizontal="center" vertical="center" shrinkToFit="1"/>
      <protection hidden="1"/>
    </xf>
    <xf numFmtId="190" fontId="8" fillId="8" borderId="30" xfId="0" applyNumberFormat="1" applyFont="1" applyFill="1" applyBorder="1" applyAlignment="1" applyProtection="1">
      <alignment horizontal="center" vertical="center" shrinkToFit="1"/>
      <protection hidden="1"/>
    </xf>
    <xf numFmtId="190" fontId="8" fillId="8" borderId="4" xfId="0" applyNumberFormat="1" applyFont="1" applyFill="1" applyBorder="1" applyAlignment="1" applyProtection="1">
      <alignment horizontal="center" vertical="center" shrinkToFit="1"/>
      <protection locked="0"/>
    </xf>
    <xf numFmtId="190" fontId="8" fillId="2" borderId="30" xfId="0" applyNumberFormat="1" applyFont="1" applyFill="1" applyBorder="1" applyAlignment="1" applyProtection="1">
      <alignment horizontal="center" vertical="center" shrinkToFit="1"/>
      <protection hidden="1"/>
    </xf>
    <xf numFmtId="190" fontId="8" fillId="2" borderId="7" xfId="0" applyNumberFormat="1" applyFont="1" applyFill="1" applyBorder="1" applyAlignment="1" applyProtection="1">
      <alignment horizontal="center" vertical="center" shrinkToFit="1"/>
      <protection hidden="1"/>
    </xf>
    <xf numFmtId="190" fontId="8" fillId="2" borderId="92" xfId="0" applyNumberFormat="1" applyFont="1" applyFill="1" applyBorder="1" applyAlignment="1" applyProtection="1">
      <alignment horizontal="center" vertical="center" shrinkToFit="1"/>
      <protection hidden="1"/>
    </xf>
    <xf numFmtId="190" fontId="7" fillId="0" borderId="0" xfId="0" applyNumberFormat="1" applyFont="1" applyAlignment="1">
      <alignment horizontal="center" vertical="center" shrinkToFit="1"/>
    </xf>
    <xf numFmtId="190" fontId="8" fillId="2" borderId="19" xfId="0" applyNumberFormat="1" applyFont="1" applyFill="1" applyBorder="1" applyAlignment="1" applyProtection="1">
      <alignment horizontal="center" vertical="center" shrinkToFit="1"/>
      <protection hidden="1"/>
    </xf>
    <xf numFmtId="190" fontId="8" fillId="8" borderId="31" xfId="0" applyNumberFormat="1" applyFont="1" applyFill="1" applyBorder="1" applyAlignment="1" applyProtection="1">
      <alignment horizontal="center" vertical="center" shrinkToFit="1"/>
      <protection hidden="1"/>
    </xf>
    <xf numFmtId="190" fontId="8" fillId="8" borderId="6" xfId="0" applyNumberFormat="1" applyFont="1" applyFill="1" applyBorder="1" applyAlignment="1">
      <alignment horizontal="center" vertical="center" shrinkToFit="1"/>
    </xf>
    <xf numFmtId="190" fontId="8" fillId="8" borderId="6" xfId="0" applyNumberFormat="1" applyFont="1" applyFill="1" applyBorder="1" applyAlignment="1" applyProtection="1">
      <alignment horizontal="center" vertical="center" shrinkToFit="1"/>
      <protection locked="0" hidden="1"/>
    </xf>
    <xf numFmtId="190" fontId="8" fillId="8" borderId="2" xfId="0" applyNumberFormat="1" applyFont="1" applyFill="1" applyBorder="1" applyAlignment="1" applyProtection="1">
      <alignment horizontal="center" vertical="center" shrinkToFit="1"/>
      <protection hidden="1"/>
    </xf>
    <xf numFmtId="190" fontId="8" fillId="8" borderId="74" xfId="0" applyNumberFormat="1" applyFont="1" applyFill="1" applyBorder="1" applyAlignment="1" applyProtection="1">
      <alignment horizontal="center" vertical="center" shrinkToFit="1"/>
      <protection hidden="1"/>
    </xf>
    <xf numFmtId="190" fontId="8" fillId="8" borderId="6" xfId="0" applyNumberFormat="1" applyFont="1" applyFill="1" applyBorder="1" applyAlignment="1" applyProtection="1">
      <alignment horizontal="center" vertical="center" shrinkToFit="1"/>
      <protection locked="0"/>
    </xf>
    <xf numFmtId="190" fontId="8" fillId="8" borderId="31" xfId="0" applyNumberFormat="1" applyFont="1" applyFill="1" applyBorder="1" applyAlignment="1">
      <alignment horizontal="center" vertical="center" shrinkToFit="1"/>
    </xf>
    <xf numFmtId="190" fontId="8" fillId="8" borderId="2" xfId="0" applyNumberFormat="1" applyFont="1" applyFill="1" applyBorder="1" applyAlignment="1">
      <alignment horizontal="center" vertical="center" shrinkToFit="1"/>
    </xf>
    <xf numFmtId="190" fontId="8" fillId="8" borderId="74" xfId="0" applyNumberFormat="1" applyFont="1" applyFill="1" applyBorder="1" applyAlignment="1">
      <alignment horizontal="center" vertical="center" shrinkToFit="1"/>
    </xf>
    <xf numFmtId="190" fontId="8" fillId="8" borderId="127" xfId="0" applyNumberFormat="1" applyFont="1" applyFill="1" applyBorder="1" applyAlignment="1" applyProtection="1">
      <alignment horizontal="center" vertical="center" shrinkToFit="1"/>
      <protection locked="0"/>
    </xf>
    <xf numFmtId="190" fontId="8" fillId="8" borderId="91" xfId="0" applyNumberFormat="1" applyFont="1" applyFill="1" applyBorder="1" applyAlignment="1" applyProtection="1">
      <alignment horizontal="center" vertical="center" shrinkToFit="1"/>
      <protection hidden="1"/>
    </xf>
    <xf numFmtId="190" fontId="8" fillId="8" borderId="12" xfId="0" applyNumberFormat="1" applyFont="1" applyFill="1" applyBorder="1" applyAlignment="1" applyProtection="1">
      <alignment horizontal="center" vertical="center" shrinkToFit="1"/>
      <protection locked="0" hidden="1"/>
    </xf>
    <xf numFmtId="190" fontId="8" fillId="8" borderId="74" xfId="0" applyNumberFormat="1" applyFont="1" applyFill="1" applyBorder="1" applyAlignment="1" applyProtection="1">
      <alignment horizontal="center" vertical="center" shrinkToFit="1"/>
      <protection locked="0" hidden="1"/>
    </xf>
    <xf numFmtId="190" fontId="8" fillId="8" borderId="92" xfId="0" applyNumberFormat="1" applyFont="1" applyFill="1" applyBorder="1" applyAlignment="1">
      <alignment horizontal="center" vertical="center" shrinkToFit="1"/>
    </xf>
    <xf numFmtId="190" fontId="8" fillId="9" borderId="18" xfId="0" applyNumberFormat="1" applyFont="1" applyFill="1" applyBorder="1" applyAlignment="1" applyProtection="1">
      <alignment horizontal="center" vertical="center" shrinkToFit="1"/>
      <protection hidden="1"/>
    </xf>
    <xf numFmtId="190" fontId="8" fillId="9" borderId="6" xfId="0" applyNumberFormat="1" applyFont="1" applyFill="1" applyBorder="1" applyAlignment="1" applyProtection="1">
      <alignment horizontal="center" vertical="center" shrinkToFit="1"/>
      <protection hidden="1"/>
    </xf>
    <xf numFmtId="190" fontId="8" fillId="9" borderId="6" xfId="0" applyNumberFormat="1" applyFont="1" applyFill="1" applyBorder="1" applyAlignment="1" applyProtection="1">
      <alignment horizontal="center" vertical="center" shrinkToFit="1"/>
      <protection locked="0" hidden="1"/>
    </xf>
    <xf numFmtId="190" fontId="8" fillId="9" borderId="2" xfId="0" applyNumberFormat="1" applyFont="1" applyFill="1" applyBorder="1" applyAlignment="1" applyProtection="1">
      <alignment horizontal="center" vertical="center" shrinkToFit="1"/>
      <protection hidden="1"/>
    </xf>
    <xf numFmtId="190" fontId="8" fillId="9" borderId="31" xfId="0" applyNumberFormat="1" applyFont="1" applyFill="1" applyBorder="1" applyAlignment="1" applyProtection="1">
      <alignment horizontal="center" vertical="center" shrinkToFit="1"/>
      <protection hidden="1"/>
    </xf>
    <xf numFmtId="190" fontId="8" fillId="9" borderId="6" xfId="0" applyNumberFormat="1" applyFont="1" applyFill="1" applyBorder="1" applyAlignment="1">
      <alignment horizontal="center" vertical="center" shrinkToFit="1"/>
    </xf>
    <xf numFmtId="190" fontId="8" fillId="9" borderId="2" xfId="0" applyNumberFormat="1" applyFont="1" applyFill="1" applyBorder="1" applyAlignment="1">
      <alignment horizontal="center" vertical="center" shrinkToFit="1"/>
    </xf>
    <xf numFmtId="190" fontId="8" fillId="9" borderId="11" xfId="0" applyNumberFormat="1" applyFont="1" applyFill="1" applyBorder="1" applyAlignment="1" applyProtection="1">
      <alignment horizontal="center" vertical="center" shrinkToFit="1"/>
      <protection hidden="1"/>
    </xf>
    <xf numFmtId="190" fontId="8" fillId="9" borderId="74" xfId="0" applyNumberFormat="1" applyFont="1" applyFill="1" applyBorder="1" applyAlignment="1" applyProtection="1">
      <alignment horizontal="center" vertical="center" shrinkToFit="1"/>
      <protection locked="0" hidden="1"/>
    </xf>
    <xf numFmtId="190" fontId="8" fillId="9" borderId="74" xfId="0" applyNumberFormat="1" applyFont="1" applyFill="1" applyBorder="1" applyAlignment="1" applyProtection="1">
      <alignment horizontal="center" vertical="center" shrinkToFit="1"/>
      <protection hidden="1"/>
    </xf>
    <xf numFmtId="190" fontId="8" fillId="9" borderId="127" xfId="0" applyNumberFormat="1" applyFont="1" applyFill="1" applyBorder="1" applyAlignment="1" applyProtection="1">
      <alignment horizontal="center" vertical="center" shrinkToFit="1"/>
      <protection locked="0"/>
    </xf>
    <xf numFmtId="190" fontId="8" fillId="9" borderId="6" xfId="0" applyNumberFormat="1" applyFont="1" applyFill="1" applyBorder="1" applyAlignment="1" applyProtection="1">
      <alignment horizontal="center" vertical="center" shrinkToFit="1"/>
      <protection locked="0"/>
    </xf>
    <xf numFmtId="190" fontId="8" fillId="9" borderId="31" xfId="0" applyNumberFormat="1" applyFont="1" applyFill="1" applyBorder="1" applyAlignment="1">
      <alignment horizontal="center" vertical="center" shrinkToFit="1"/>
    </xf>
    <xf numFmtId="190" fontId="8" fillId="9" borderId="91" xfId="0" applyNumberFormat="1" applyFont="1" applyFill="1" applyBorder="1" applyAlignment="1">
      <alignment horizontal="center" vertical="center" shrinkToFit="1"/>
    </xf>
    <xf numFmtId="187" fontId="7" fillId="0" borderId="0" xfId="0" applyNumberFormat="1" applyFont="1" applyAlignment="1" applyProtection="1">
      <alignment horizontal="center" vertical="center" wrapText="1" shrinkToFit="1"/>
      <protection hidden="1"/>
    </xf>
    <xf numFmtId="0" fontId="6" fillId="0" borderId="132" xfId="0" applyFont="1" applyBorder="1" applyAlignment="1" applyProtection="1">
      <alignment horizontal="left" vertical="center" shrinkToFit="1"/>
      <protection locked="0"/>
    </xf>
    <xf numFmtId="0" fontId="6" fillId="0" borderId="123" xfId="0" applyFont="1" applyBorder="1">
      <alignment vertical="center"/>
    </xf>
    <xf numFmtId="179" fontId="6" fillId="0" borderId="125" xfId="0" applyNumberFormat="1" applyFont="1" applyBorder="1" applyAlignment="1">
      <alignment horizontal="center" vertical="center"/>
    </xf>
    <xf numFmtId="0" fontId="7" fillId="0" borderId="41" xfId="0" applyFont="1" applyBorder="1" applyAlignment="1">
      <alignment horizontal="center" vertical="center"/>
    </xf>
    <xf numFmtId="191" fontId="6" fillId="3" borderId="134" xfId="0" applyNumberFormat="1" applyFont="1" applyFill="1" applyBorder="1" applyAlignment="1" applyProtection="1">
      <alignment vertical="center" shrinkToFit="1"/>
      <protection hidden="1"/>
    </xf>
    <xf numFmtId="0" fontId="6" fillId="0" borderId="109" xfId="0" applyFont="1" applyBorder="1" applyAlignment="1" applyProtection="1">
      <alignment vertical="center" shrinkToFit="1"/>
      <protection locked="0" hidden="1"/>
    </xf>
    <xf numFmtId="0" fontId="6" fillId="0" borderId="102" xfId="0" applyFont="1" applyBorder="1" applyAlignment="1" applyProtection="1">
      <alignment vertical="center" shrinkToFit="1"/>
      <protection hidden="1"/>
    </xf>
    <xf numFmtId="49" fontId="6" fillId="0" borderId="22" xfId="0" applyNumberFormat="1" applyFont="1" applyBorder="1" applyAlignment="1" applyProtection="1">
      <alignment vertical="center" shrinkToFit="1"/>
      <protection hidden="1"/>
    </xf>
    <xf numFmtId="49" fontId="6" fillId="0" borderId="20" xfId="0" applyNumberFormat="1" applyFont="1" applyBorder="1" applyAlignment="1" applyProtection="1">
      <alignment vertical="center" shrinkToFit="1"/>
      <protection hidden="1"/>
    </xf>
    <xf numFmtId="0" fontId="6" fillId="0" borderId="109" xfId="0" applyFont="1" applyBorder="1" applyAlignment="1">
      <alignment vertical="center" shrinkToFit="1"/>
    </xf>
    <xf numFmtId="0" fontId="6" fillId="0" borderId="103" xfId="0" applyFont="1" applyBorder="1" applyAlignment="1" applyProtection="1">
      <alignment vertical="center" shrinkToFit="1"/>
      <protection hidden="1"/>
    </xf>
    <xf numFmtId="49" fontId="6" fillId="0" borderId="135" xfId="0" applyNumberFormat="1" applyFont="1" applyBorder="1" applyAlignment="1" applyProtection="1">
      <alignment vertical="center" shrinkToFit="1"/>
      <protection hidden="1"/>
    </xf>
    <xf numFmtId="0" fontId="6" fillId="9" borderId="10" xfId="0" applyFont="1" applyFill="1" applyBorder="1" applyAlignment="1">
      <alignment horizontal="center" vertical="center" shrinkToFit="1"/>
    </xf>
    <xf numFmtId="0" fontId="6" fillId="9" borderId="51" xfId="0" applyFont="1" applyFill="1" applyBorder="1">
      <alignment vertical="center"/>
    </xf>
    <xf numFmtId="195" fontId="6" fillId="9" borderId="53" xfId="0" applyNumberFormat="1" applyFont="1" applyFill="1" applyBorder="1" applyAlignment="1">
      <alignment vertical="center" shrinkToFit="1"/>
    </xf>
    <xf numFmtId="0" fontId="6" fillId="9" borderId="51" xfId="0" applyFont="1" applyFill="1" applyBorder="1" applyAlignment="1">
      <alignment vertical="center" shrinkToFit="1"/>
    </xf>
    <xf numFmtId="195" fontId="6" fillId="9" borderId="53" xfId="0" applyNumberFormat="1" applyFont="1" applyFill="1" applyBorder="1">
      <alignment vertical="center"/>
    </xf>
    <xf numFmtId="178" fontId="6" fillId="9" borderId="0" xfId="0" applyNumberFormat="1" applyFont="1" applyFill="1" applyAlignment="1">
      <alignment vertical="center" shrinkToFit="1"/>
    </xf>
    <xf numFmtId="178" fontId="6" fillId="9" borderId="0" xfId="0" applyNumberFormat="1" applyFont="1" applyFill="1" applyAlignment="1">
      <alignment horizontal="right" vertical="center" shrinkToFit="1"/>
    </xf>
    <xf numFmtId="0" fontId="5" fillId="9" borderId="0" xfId="0" applyFont="1" applyFill="1" applyAlignment="1">
      <alignment horizontal="right" vertical="center" shrinkToFit="1"/>
    </xf>
    <xf numFmtId="0" fontId="6" fillId="9" borderId="0" xfId="0" applyFont="1" applyFill="1" applyAlignment="1">
      <alignment vertical="center" shrinkToFit="1"/>
    </xf>
    <xf numFmtId="0" fontId="6" fillId="9" borderId="48" xfId="0" applyFont="1" applyFill="1" applyBorder="1" applyAlignment="1">
      <alignment vertical="center" shrinkToFit="1"/>
    </xf>
    <xf numFmtId="0" fontId="5" fillId="9" borderId="48" xfId="0" applyFont="1" applyFill="1" applyBorder="1" applyAlignment="1">
      <alignment horizontal="right" vertical="center" shrinkToFit="1"/>
    </xf>
    <xf numFmtId="0" fontId="6" fillId="9" borderId="12" xfId="0" applyFont="1" applyFill="1" applyBorder="1" applyAlignment="1">
      <alignment horizontal="center" vertical="center"/>
    </xf>
    <xf numFmtId="0" fontId="6" fillId="9" borderId="56" xfId="0" applyFont="1" applyFill="1" applyBorder="1">
      <alignment vertical="center"/>
    </xf>
    <xf numFmtId="0" fontId="6" fillId="9" borderId="87" xfId="0" applyFont="1" applyFill="1" applyBorder="1">
      <alignment vertical="center"/>
    </xf>
    <xf numFmtId="0" fontId="6" fillId="9" borderId="4" xfId="0" applyFont="1" applyFill="1" applyBorder="1">
      <alignment vertical="center"/>
    </xf>
    <xf numFmtId="195" fontId="6" fillId="9" borderId="13" xfId="0" applyNumberFormat="1" applyFont="1" applyFill="1" applyBorder="1" applyAlignment="1">
      <alignment vertical="center" shrinkToFit="1"/>
    </xf>
    <xf numFmtId="0" fontId="6" fillId="9" borderId="4" xfId="0" applyFont="1" applyFill="1" applyBorder="1" applyAlignment="1">
      <alignment vertical="center" shrinkToFit="1"/>
    </xf>
    <xf numFmtId="178" fontId="6" fillId="9" borderId="125" xfId="0" applyNumberFormat="1" applyFont="1" applyFill="1" applyBorder="1" applyAlignment="1">
      <alignment vertical="center" shrinkToFit="1"/>
    </xf>
    <xf numFmtId="178" fontId="6" fillId="9" borderId="125" xfId="0" applyNumberFormat="1" applyFont="1" applyFill="1" applyBorder="1" applyAlignment="1">
      <alignment horizontal="right" vertical="center" shrinkToFit="1"/>
    </xf>
    <xf numFmtId="186" fontId="6" fillId="9" borderId="51" xfId="0" applyNumberFormat="1" applyFont="1" applyFill="1" applyBorder="1" applyAlignment="1">
      <alignment horizontal="center" vertical="center"/>
    </xf>
    <xf numFmtId="178" fontId="5" fillId="9" borderId="0" xfId="0" applyNumberFormat="1" applyFont="1" applyFill="1" applyAlignment="1">
      <alignment horizontal="right" vertical="center" shrinkToFit="1"/>
    </xf>
    <xf numFmtId="0" fontId="6" fillId="9" borderId="126" xfId="0" applyFont="1" applyFill="1" applyBorder="1" applyAlignment="1">
      <alignment horizontal="center" vertical="center" shrinkToFit="1"/>
    </xf>
    <xf numFmtId="0" fontId="6" fillId="6" borderId="130" xfId="0" applyFont="1" applyFill="1" applyBorder="1" applyAlignment="1">
      <alignment horizontal="center" vertical="center" shrinkToFit="1"/>
    </xf>
    <xf numFmtId="0" fontId="6" fillId="6" borderId="130" xfId="0" applyFont="1" applyFill="1" applyBorder="1" applyAlignment="1">
      <alignment horizontal="center" vertical="center"/>
    </xf>
    <xf numFmtId="0" fontId="6" fillId="6" borderId="133" xfId="0" applyFont="1" applyFill="1" applyBorder="1" applyAlignment="1">
      <alignment horizontal="center" vertical="center" shrinkToFit="1"/>
    </xf>
    <xf numFmtId="0" fontId="6" fillId="9" borderId="117" xfId="0" applyFont="1" applyFill="1" applyBorder="1" applyAlignment="1">
      <alignment horizontal="center" vertical="center" shrinkToFit="1"/>
    </xf>
    <xf numFmtId="0" fontId="6" fillId="9" borderId="136" xfId="0" applyFont="1" applyFill="1" applyBorder="1" applyAlignment="1">
      <alignment horizontal="center" vertical="center" shrinkToFit="1"/>
    </xf>
    <xf numFmtId="183" fontId="6" fillId="9" borderId="133" xfId="0" applyNumberFormat="1" applyFont="1" applyFill="1" applyBorder="1" applyAlignment="1">
      <alignment vertical="center" shrinkToFit="1"/>
    </xf>
    <xf numFmtId="197" fontId="6" fillId="9" borderId="133" xfId="0" applyNumberFormat="1" applyFont="1" applyFill="1" applyBorder="1" applyAlignment="1">
      <alignment vertical="center" shrinkToFit="1"/>
    </xf>
    <xf numFmtId="181" fontId="6" fillId="0" borderId="0" xfId="0" applyNumberFormat="1" applyFont="1" applyAlignment="1">
      <alignment horizontal="center" vertical="center" shrinkToFit="1"/>
    </xf>
    <xf numFmtId="181" fontId="6" fillId="0" borderId="0" xfId="0" applyNumberFormat="1" applyFont="1" applyAlignment="1">
      <alignment vertical="center" shrinkToFit="1"/>
    </xf>
    <xf numFmtId="0" fontId="6" fillId="9" borderId="36" xfId="0" applyFont="1" applyFill="1" applyBorder="1" applyAlignment="1">
      <alignment horizontal="center" vertical="center"/>
    </xf>
    <xf numFmtId="183" fontId="6" fillId="9" borderId="83" xfId="0" applyNumberFormat="1" applyFont="1" applyFill="1" applyBorder="1" applyAlignment="1">
      <alignment vertical="center" shrinkToFit="1"/>
    </xf>
    <xf numFmtId="197" fontId="6" fillId="9" borderId="83" xfId="0" applyNumberFormat="1" applyFont="1" applyFill="1" applyBorder="1" applyAlignment="1">
      <alignment vertical="center" shrinkToFit="1"/>
    </xf>
    <xf numFmtId="188" fontId="6" fillId="9" borderId="52" xfId="0" applyNumberFormat="1" applyFont="1" applyFill="1" applyBorder="1" applyAlignment="1">
      <alignment vertical="center" shrinkToFit="1"/>
    </xf>
    <xf numFmtId="191" fontId="6" fillId="9" borderId="56" xfId="0" applyNumberFormat="1" applyFont="1" applyFill="1" applyBorder="1" applyAlignment="1">
      <alignment vertical="center" shrinkToFit="1"/>
    </xf>
    <xf numFmtId="203" fontId="6" fillId="9" borderId="15" xfId="0" applyNumberFormat="1" applyFont="1" applyFill="1" applyBorder="1" applyAlignment="1">
      <alignment horizontal="center" vertical="center" shrinkToFit="1"/>
    </xf>
    <xf numFmtId="204" fontId="6" fillId="9" borderId="53" xfId="0" applyNumberFormat="1" applyFont="1" applyFill="1" applyBorder="1" applyAlignment="1">
      <alignment horizontal="center" vertical="center" shrinkToFit="1"/>
    </xf>
    <xf numFmtId="0" fontId="6" fillId="9" borderId="29" xfId="0" applyFont="1" applyFill="1" applyBorder="1" applyAlignment="1">
      <alignment horizontal="center" vertical="center"/>
    </xf>
    <xf numFmtId="0" fontId="10" fillId="0" borderId="0" xfId="0" applyFont="1" applyAlignment="1" applyProtection="1">
      <alignment vertical="center" wrapText="1"/>
      <protection hidden="1"/>
    </xf>
    <xf numFmtId="192" fontId="6" fillId="9" borderId="82" xfId="0" applyNumberFormat="1" applyFont="1" applyFill="1" applyBorder="1" applyAlignment="1">
      <alignment horizontal="center" vertical="center" shrinkToFit="1"/>
    </xf>
    <xf numFmtId="0" fontId="6" fillId="10" borderId="82" xfId="0" applyFont="1" applyFill="1" applyBorder="1" applyAlignment="1">
      <alignment horizontal="center" vertical="center" shrinkToFit="1"/>
    </xf>
    <xf numFmtId="180" fontId="6" fillId="9" borderId="82" xfId="0" applyNumberFormat="1" applyFont="1" applyFill="1" applyBorder="1" applyAlignment="1">
      <alignment horizontal="center" vertical="center" shrinkToFit="1"/>
    </xf>
    <xf numFmtId="180" fontId="6" fillId="9" borderId="86" xfId="0" applyNumberFormat="1" applyFont="1" applyFill="1" applyBorder="1" applyAlignment="1">
      <alignment horizontal="center" vertical="center" shrinkToFit="1"/>
    </xf>
    <xf numFmtId="0" fontId="6" fillId="10" borderId="136" xfId="0" applyFont="1" applyFill="1" applyBorder="1" applyAlignment="1">
      <alignment horizontal="center" vertical="center" shrinkToFit="1"/>
    </xf>
    <xf numFmtId="0" fontId="6" fillId="10" borderId="79" xfId="0" applyFont="1" applyFill="1" applyBorder="1" applyAlignment="1">
      <alignment horizontal="center" vertical="center" shrinkToFit="1"/>
    </xf>
    <xf numFmtId="192" fontId="6" fillId="9" borderId="133" xfId="0" applyNumberFormat="1" applyFont="1" applyFill="1" applyBorder="1" applyAlignment="1">
      <alignment horizontal="center" vertical="center" shrinkToFit="1"/>
    </xf>
    <xf numFmtId="180" fontId="6" fillId="9" borderId="133" xfId="0" applyNumberFormat="1" applyFont="1" applyFill="1" applyBorder="1" applyAlignment="1">
      <alignment horizontal="center" vertical="center" shrinkToFit="1"/>
    </xf>
    <xf numFmtId="49" fontId="6" fillId="0" borderId="0" xfId="0" applyNumberFormat="1" applyFont="1" applyAlignment="1">
      <alignment horizontal="center" vertical="center"/>
    </xf>
    <xf numFmtId="0" fontId="10" fillId="0" borderId="0" xfId="0" applyFont="1" applyAlignment="1" applyProtection="1">
      <alignment vertical="center" wrapText="1"/>
      <protection hidden="1"/>
    </xf>
    <xf numFmtId="177" fontId="6" fillId="9" borderId="6" xfId="0" applyNumberFormat="1" applyFont="1" applyFill="1" applyBorder="1" applyAlignment="1">
      <alignment horizontal="center" vertical="center" shrinkToFit="1"/>
    </xf>
    <xf numFmtId="0" fontId="6" fillId="9" borderId="126" xfId="0" applyFont="1" applyFill="1" applyBorder="1" applyAlignment="1">
      <alignment horizontal="center" vertical="center" shrinkToFit="1"/>
    </xf>
    <xf numFmtId="0" fontId="6" fillId="9" borderId="17" xfId="0" applyFont="1" applyFill="1" applyBorder="1" applyAlignment="1">
      <alignment horizontal="center" vertical="center" shrinkToFit="1"/>
    </xf>
    <xf numFmtId="0" fontId="6" fillId="9" borderId="81" xfId="0" applyFont="1" applyFill="1" applyBorder="1" applyAlignment="1">
      <alignment horizontal="center" vertical="center" shrinkToFit="1"/>
    </xf>
    <xf numFmtId="0" fontId="6" fillId="10" borderId="83" xfId="0" applyFont="1" applyFill="1" applyBorder="1" applyAlignment="1">
      <alignment horizontal="center" vertical="center" shrinkToFit="1"/>
    </xf>
    <xf numFmtId="177" fontId="6" fillId="9" borderId="55" xfId="0" applyNumberFormat="1" applyFont="1" applyFill="1" applyBorder="1" applyAlignment="1">
      <alignment horizontal="center" vertical="center" shrinkToFit="1"/>
    </xf>
    <xf numFmtId="180" fontId="6" fillId="9" borderId="83" xfId="0" applyNumberFormat="1" applyFont="1" applyFill="1" applyBorder="1" applyAlignment="1">
      <alignment horizontal="center" vertical="center" shrinkToFit="1"/>
    </xf>
    <xf numFmtId="192" fontId="6" fillId="9" borderId="83" xfId="0" applyNumberFormat="1" applyFont="1" applyFill="1" applyBorder="1" applyAlignment="1">
      <alignment horizontal="center" vertical="center" shrinkToFit="1"/>
    </xf>
    <xf numFmtId="0" fontId="6" fillId="10" borderId="133" xfId="0" applyFont="1" applyFill="1" applyBorder="1" applyAlignment="1">
      <alignment horizontal="center" vertical="center" shrinkToFit="1"/>
    </xf>
    <xf numFmtId="196" fontId="6" fillId="9" borderId="52" xfId="0" applyNumberFormat="1" applyFont="1" applyFill="1" applyBorder="1" applyAlignment="1">
      <alignment horizontal="center" vertical="center" shrinkToFit="1"/>
    </xf>
    <xf numFmtId="196" fontId="6" fillId="9" borderId="71" xfId="0" applyNumberFormat="1" applyFont="1" applyFill="1" applyBorder="1" applyAlignment="1">
      <alignment horizontal="center" vertical="center" shrinkToFit="1"/>
    </xf>
    <xf numFmtId="182" fontId="6" fillId="4" borderId="49" xfId="0" applyNumberFormat="1" applyFont="1" applyFill="1" applyBorder="1" applyAlignment="1" applyProtection="1">
      <alignment horizontal="center" vertical="center" shrinkToFit="1"/>
      <protection locked="0"/>
    </xf>
    <xf numFmtId="182" fontId="6" fillId="4" borderId="70" xfId="0" applyNumberFormat="1" applyFont="1" applyFill="1" applyBorder="1" applyAlignment="1" applyProtection="1">
      <alignment horizontal="center" vertical="center" shrinkToFit="1"/>
      <protection locked="0"/>
    </xf>
    <xf numFmtId="195" fontId="6" fillId="4" borderId="118" xfId="0" applyNumberFormat="1" applyFont="1" applyFill="1" applyBorder="1" applyAlignment="1" applyProtection="1">
      <alignment horizontal="center" vertical="center" shrinkToFit="1"/>
      <protection locked="0"/>
    </xf>
    <xf numFmtId="195" fontId="6" fillId="4" borderId="119" xfId="0" applyNumberFormat="1" applyFont="1" applyFill="1" applyBorder="1" applyAlignment="1" applyProtection="1">
      <alignment horizontal="center" vertical="center" shrinkToFit="1"/>
      <protection locked="0"/>
    </xf>
    <xf numFmtId="194" fontId="6" fillId="9" borderId="39" xfId="0" applyNumberFormat="1" applyFont="1" applyFill="1" applyBorder="1" applyAlignment="1">
      <alignment horizontal="center" vertical="center" shrinkToFit="1"/>
    </xf>
    <xf numFmtId="177" fontId="6" fillId="9" borderId="39" xfId="0" applyNumberFormat="1" applyFont="1" applyFill="1" applyBorder="1" applyAlignment="1">
      <alignment horizontal="center" vertical="center" shrinkToFit="1"/>
    </xf>
    <xf numFmtId="177" fontId="6" fillId="9" borderId="54" xfId="0" applyNumberFormat="1" applyFont="1" applyFill="1" applyBorder="1" applyAlignment="1">
      <alignment horizontal="center" vertical="center" shrinkToFit="1"/>
    </xf>
    <xf numFmtId="194" fontId="6" fillId="9" borderId="54" xfId="0" applyNumberFormat="1" applyFont="1" applyFill="1" applyBorder="1" applyAlignment="1">
      <alignment horizontal="center" vertical="center" shrinkToFit="1"/>
    </xf>
    <xf numFmtId="179" fontId="6" fillId="0" borderId="11" xfId="0" applyNumberFormat="1" applyFont="1" applyBorder="1" applyAlignment="1" applyProtection="1">
      <alignment horizontal="right" vertical="center" shrinkToFit="1"/>
      <protection locked="0"/>
    </xf>
    <xf numFmtId="179" fontId="6" fillId="0" borderId="2" xfId="0" applyNumberFormat="1" applyFont="1" applyBorder="1" applyAlignment="1" applyProtection="1">
      <alignment horizontal="right" vertical="center" shrinkToFit="1"/>
      <protection locked="0"/>
    </xf>
    <xf numFmtId="183" fontId="6" fillId="9" borderId="88" xfId="0" applyNumberFormat="1" applyFont="1" applyFill="1" applyBorder="1" applyAlignment="1">
      <alignment horizontal="right" vertical="center" shrinkToFit="1"/>
    </xf>
    <xf numFmtId="183" fontId="6" fillId="9" borderId="86" xfId="0" applyNumberFormat="1" applyFont="1" applyFill="1" applyBorder="1" applyAlignment="1">
      <alignment horizontal="right" vertical="center" shrinkToFit="1"/>
    </xf>
    <xf numFmtId="0" fontId="6" fillId="7" borderId="88" xfId="0" applyFont="1" applyFill="1" applyBorder="1" applyAlignment="1" applyProtection="1">
      <alignment horizontal="center" vertical="center"/>
      <protection locked="0"/>
    </xf>
    <xf numFmtId="0" fontId="6" fillId="7" borderId="79" xfId="0" applyFont="1" applyFill="1" applyBorder="1" applyAlignment="1" applyProtection="1">
      <alignment horizontal="center" vertical="center"/>
      <protection locked="0"/>
    </xf>
    <xf numFmtId="194" fontId="6" fillId="9" borderId="116" xfId="0" applyNumberFormat="1" applyFont="1" applyFill="1" applyBorder="1" applyAlignment="1">
      <alignment horizontal="center" vertical="center" shrinkToFit="1"/>
    </xf>
    <xf numFmtId="177" fontId="6" fillId="9" borderId="127" xfId="0" applyNumberFormat="1" applyFont="1" applyFill="1" applyBorder="1" applyAlignment="1">
      <alignment horizontal="center" vertical="center" shrinkToFit="1"/>
    </xf>
    <xf numFmtId="177" fontId="6" fillId="9" borderId="3" xfId="0" applyNumberFormat="1" applyFont="1" applyFill="1" applyBorder="1" applyAlignment="1">
      <alignment horizontal="center" vertical="center" shrinkToFit="1"/>
    </xf>
    <xf numFmtId="197" fontId="6" fillId="9" borderId="88" xfId="0" applyNumberFormat="1" applyFont="1" applyFill="1" applyBorder="1" applyAlignment="1">
      <alignment horizontal="right" vertical="center" shrinkToFit="1"/>
    </xf>
    <xf numFmtId="197" fontId="6" fillId="9" borderId="86" xfId="0" applyNumberFormat="1" applyFont="1" applyFill="1" applyBorder="1" applyAlignment="1">
      <alignment horizontal="right" vertical="center" shrinkToFit="1"/>
    </xf>
    <xf numFmtId="178" fontId="6" fillId="9" borderId="66" xfId="0" applyNumberFormat="1" applyFont="1" applyFill="1" applyBorder="1" applyAlignment="1">
      <alignment horizontal="right" vertical="center" shrinkToFit="1"/>
    </xf>
    <xf numFmtId="178" fontId="6" fillId="9" borderId="38" xfId="0" applyNumberFormat="1" applyFont="1" applyFill="1" applyBorder="1" applyAlignment="1">
      <alignment horizontal="right" vertical="center" shrinkToFit="1"/>
    </xf>
    <xf numFmtId="0" fontId="6" fillId="7" borderId="29" xfId="0" applyFont="1" applyFill="1" applyBorder="1" applyAlignment="1" applyProtection="1">
      <alignment horizontal="center" vertical="center" shrinkToFit="1"/>
      <protection locked="0"/>
    </xf>
    <xf numFmtId="0" fontId="4" fillId="7" borderId="44" xfId="0" applyFont="1" applyFill="1" applyBorder="1">
      <alignment vertical="center"/>
    </xf>
    <xf numFmtId="0" fontId="6" fillId="7" borderId="88" xfId="0" applyFont="1" applyFill="1" applyBorder="1" applyAlignment="1" applyProtection="1">
      <alignment horizontal="center" vertical="center" shrinkToFit="1"/>
      <protection locked="0"/>
    </xf>
    <xf numFmtId="0" fontId="6" fillId="7" borderId="79" xfId="0" applyFont="1" applyFill="1" applyBorder="1" applyAlignment="1" applyProtection="1">
      <alignment horizontal="center" vertical="center" shrinkToFit="1"/>
      <protection locked="0"/>
    </xf>
    <xf numFmtId="0" fontId="6" fillId="9" borderId="117" xfId="0" applyFont="1" applyFill="1" applyBorder="1" applyAlignment="1">
      <alignment vertical="center" shrinkToFit="1"/>
    </xf>
    <xf numFmtId="0" fontId="6" fillId="9" borderId="129" xfId="0" applyFont="1" applyFill="1" applyBorder="1" applyAlignment="1">
      <alignment vertical="center" shrinkToFit="1"/>
    </xf>
    <xf numFmtId="178" fontId="6" fillId="6" borderId="117" xfId="0" applyNumberFormat="1" applyFont="1" applyFill="1" applyBorder="1" applyAlignment="1" applyProtection="1">
      <alignment horizontal="center" vertical="center" shrinkToFit="1"/>
      <protection locked="0"/>
    </xf>
    <xf numFmtId="178" fontId="6" fillId="6" borderId="118" xfId="0" applyNumberFormat="1" applyFont="1" applyFill="1" applyBorder="1" applyAlignment="1" applyProtection="1">
      <alignment horizontal="center" vertical="center" shrinkToFit="1"/>
      <protection locked="0"/>
    </xf>
    <xf numFmtId="178" fontId="6" fillId="6" borderId="119" xfId="0" applyNumberFormat="1" applyFont="1" applyFill="1" applyBorder="1" applyAlignment="1" applyProtection="1">
      <alignment horizontal="center" vertical="center" shrinkToFit="1"/>
      <protection locked="0"/>
    </xf>
    <xf numFmtId="0" fontId="6" fillId="9" borderId="10" xfId="0" applyFont="1" applyFill="1" applyBorder="1" applyAlignment="1">
      <alignment horizontal="center" vertical="center" shrinkToFit="1"/>
    </xf>
    <xf numFmtId="0" fontId="6" fillId="9" borderId="1" xfId="0" applyFont="1" applyFill="1" applyBorder="1" applyAlignment="1">
      <alignment horizontal="center" vertical="center" shrinkToFit="1"/>
    </xf>
    <xf numFmtId="0" fontId="6" fillId="7" borderId="12" xfId="0" applyFont="1" applyFill="1" applyBorder="1" applyAlignment="1" applyProtection="1">
      <alignment horizontal="center" vertical="center" shrinkToFit="1"/>
      <protection locked="0"/>
    </xf>
    <xf numFmtId="0" fontId="6" fillId="7" borderId="15" xfId="0" applyFont="1" applyFill="1" applyBorder="1" applyAlignment="1" applyProtection="1">
      <alignment horizontal="center" vertical="center" shrinkToFit="1"/>
      <protection locked="0"/>
    </xf>
    <xf numFmtId="0" fontId="6" fillId="7" borderId="4" xfId="0" applyFont="1" applyFill="1" applyBorder="1" applyAlignment="1" applyProtection="1">
      <alignment horizontal="center" vertical="center" shrinkToFit="1"/>
      <protection locked="0"/>
    </xf>
    <xf numFmtId="0" fontId="6" fillId="7" borderId="13" xfId="0" applyFont="1" applyFill="1" applyBorder="1" applyAlignment="1" applyProtection="1">
      <alignment horizontal="center" vertical="center" shrinkToFit="1"/>
      <protection locked="0"/>
    </xf>
    <xf numFmtId="0" fontId="11" fillId="0" borderId="128" xfId="0" applyFont="1" applyBorder="1" applyAlignment="1" applyProtection="1">
      <alignment horizontal="center" vertical="center" shrinkToFit="1"/>
      <protection locked="0"/>
    </xf>
    <xf numFmtId="0" fontId="11" fillId="0" borderId="125" xfId="0" applyFont="1" applyBorder="1" applyAlignment="1" applyProtection="1">
      <alignment horizontal="center" vertical="center" shrinkToFit="1"/>
      <protection locked="0"/>
    </xf>
    <xf numFmtId="0" fontId="11" fillId="0" borderId="124" xfId="0" applyFont="1" applyBorder="1" applyAlignment="1" applyProtection="1">
      <alignment horizontal="center" vertical="center" shrinkToFit="1"/>
      <protection locked="0"/>
    </xf>
    <xf numFmtId="0" fontId="11" fillId="0" borderId="19"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41" xfId="0" applyFont="1" applyBorder="1" applyAlignment="1" applyProtection="1">
      <alignment horizontal="center" vertical="center" shrinkToFit="1"/>
      <protection locked="0"/>
    </xf>
    <xf numFmtId="0" fontId="11" fillId="0" borderId="76" xfId="0" applyFont="1" applyBorder="1" applyAlignment="1" applyProtection="1">
      <alignment horizontal="center" vertical="center" shrinkToFit="1"/>
      <protection locked="0"/>
    </xf>
    <xf numFmtId="0" fontId="11" fillId="0" borderId="36" xfId="0" applyFont="1" applyBorder="1" applyAlignment="1" applyProtection="1">
      <alignment horizontal="center" vertical="center" shrinkToFit="1"/>
      <protection locked="0"/>
    </xf>
    <xf numFmtId="0" fontId="11" fillId="0" borderId="60" xfId="0" applyFont="1" applyBorder="1" applyAlignment="1" applyProtection="1">
      <alignment horizontal="center" vertical="center" shrinkToFit="1"/>
      <protection locked="0"/>
    </xf>
    <xf numFmtId="177" fontId="6" fillId="9" borderId="115" xfId="0" applyNumberFormat="1" applyFont="1" applyFill="1" applyBorder="1" applyAlignment="1">
      <alignment horizontal="center" vertical="center" shrinkToFit="1"/>
    </xf>
    <xf numFmtId="177" fontId="6" fillId="9" borderId="116" xfId="0" applyNumberFormat="1" applyFont="1" applyFill="1" applyBorder="1" applyAlignment="1">
      <alignment horizontal="center" vertical="center" shrinkToFit="1"/>
    </xf>
    <xf numFmtId="200" fontId="11" fillId="9" borderId="0" xfId="0" applyNumberFormat="1" applyFont="1" applyFill="1" applyAlignment="1">
      <alignment horizontal="center" vertical="center" shrinkToFit="1"/>
    </xf>
    <xf numFmtId="200" fontId="11" fillId="9" borderId="41" xfId="0" applyNumberFormat="1" applyFont="1" applyFill="1" applyBorder="1" applyAlignment="1">
      <alignment horizontal="center" vertical="center" shrinkToFit="1"/>
    </xf>
    <xf numFmtId="0" fontId="6" fillId="9" borderId="19" xfId="0" applyFont="1" applyFill="1" applyBorder="1" applyAlignment="1">
      <alignment horizontal="center" vertical="center" shrinkToFit="1"/>
    </xf>
    <xf numFmtId="0" fontId="6" fillId="9" borderId="57" xfId="0" applyFont="1" applyFill="1" applyBorder="1" applyAlignment="1">
      <alignment horizontal="center" vertical="center" shrinkToFit="1"/>
    </xf>
    <xf numFmtId="0" fontId="6" fillId="9" borderId="76" xfId="0" applyFont="1" applyFill="1" applyBorder="1" applyAlignment="1">
      <alignment horizontal="center" vertical="center" shrinkToFit="1"/>
    </xf>
    <xf numFmtId="0" fontId="6" fillId="9" borderId="68" xfId="0" applyFont="1" applyFill="1" applyBorder="1" applyAlignment="1">
      <alignment horizontal="center" vertical="center" shrinkToFit="1"/>
    </xf>
    <xf numFmtId="0" fontId="11" fillId="9" borderId="35" xfId="0" applyFont="1" applyFill="1" applyBorder="1" applyAlignment="1">
      <alignment horizontal="center" vertical="center" shrinkToFit="1"/>
    </xf>
    <xf numFmtId="0" fontId="11" fillId="9" borderId="0" xfId="0" applyFont="1" applyFill="1" applyAlignment="1">
      <alignment horizontal="center" vertical="center" shrinkToFit="1"/>
    </xf>
    <xf numFmtId="178" fontId="6" fillId="7" borderId="51" xfId="0" applyNumberFormat="1" applyFont="1" applyFill="1" applyBorder="1" applyAlignment="1" applyProtection="1">
      <alignment horizontal="center" vertical="center" shrinkToFit="1"/>
      <protection locked="0"/>
    </xf>
    <xf numFmtId="178" fontId="6" fillId="7" borderId="71" xfId="0" applyNumberFormat="1" applyFont="1" applyFill="1" applyBorder="1" applyAlignment="1" applyProtection="1">
      <alignment horizontal="center" vertical="center" shrinkToFit="1"/>
      <protection locked="0"/>
    </xf>
    <xf numFmtId="0" fontId="11" fillId="9" borderId="123" xfId="0" applyFont="1" applyFill="1" applyBorder="1" applyAlignment="1">
      <alignment horizontal="center" vertical="center" shrinkToFit="1"/>
    </xf>
    <xf numFmtId="0" fontId="11" fillId="9" borderId="28" xfId="0" applyFont="1" applyFill="1" applyBorder="1" applyAlignment="1">
      <alignment horizontal="center" vertical="center" shrinkToFit="1"/>
    </xf>
    <xf numFmtId="0" fontId="11" fillId="9" borderId="48" xfId="0" applyFont="1" applyFill="1" applyBorder="1" applyAlignment="1">
      <alignment horizontal="center" vertical="center" shrinkToFit="1"/>
    </xf>
    <xf numFmtId="199" fontId="11" fillId="9" borderId="0" xfId="0" applyNumberFormat="1" applyFont="1" applyFill="1" applyAlignment="1">
      <alignment horizontal="center" vertical="center" shrinkToFit="1"/>
    </xf>
    <xf numFmtId="199" fontId="11" fillId="9" borderId="41" xfId="0" applyNumberFormat="1" applyFont="1" applyFill="1" applyBorder="1" applyAlignment="1">
      <alignment horizontal="center" vertical="center" shrinkToFit="1"/>
    </xf>
    <xf numFmtId="199" fontId="11" fillId="9" borderId="48" xfId="0" applyNumberFormat="1" applyFont="1" applyFill="1" applyBorder="1" applyAlignment="1">
      <alignment horizontal="center" vertical="center" shrinkToFit="1"/>
    </xf>
    <xf numFmtId="199" fontId="11" fillId="9" borderId="75" xfId="0" applyNumberFormat="1" applyFont="1" applyFill="1" applyBorder="1" applyAlignment="1">
      <alignment horizontal="center" vertical="center" shrinkToFit="1"/>
    </xf>
    <xf numFmtId="0" fontId="6" fillId="9" borderId="51" xfId="0" applyFont="1" applyFill="1" applyBorder="1" applyAlignment="1">
      <alignment vertical="center" shrinkToFit="1"/>
    </xf>
    <xf numFmtId="0" fontId="6" fillId="9" borderId="53" xfId="0" applyFont="1" applyFill="1" applyBorder="1" applyAlignment="1">
      <alignment vertical="center" shrinkToFit="1"/>
    </xf>
    <xf numFmtId="177" fontId="6" fillId="9" borderId="50" xfId="0" applyNumberFormat="1" applyFont="1" applyFill="1" applyBorder="1" applyAlignment="1">
      <alignment horizontal="center" vertical="center" shrinkToFit="1"/>
    </xf>
    <xf numFmtId="0" fontId="11" fillId="0" borderId="0" xfId="0" applyFont="1" applyAlignment="1">
      <alignment horizontal="center" vertical="center" shrinkToFit="1"/>
    </xf>
    <xf numFmtId="0" fontId="11" fillId="9" borderId="125" xfId="0" applyFont="1" applyFill="1" applyBorder="1" applyAlignment="1">
      <alignment horizontal="center" vertical="center" shrinkToFit="1"/>
    </xf>
    <xf numFmtId="201" fontId="11" fillId="9" borderId="125" xfId="0" applyNumberFormat="1" applyFont="1" applyFill="1" applyBorder="1" applyAlignment="1">
      <alignment horizontal="right" vertical="center" shrinkToFit="1"/>
    </xf>
    <xf numFmtId="201" fontId="11" fillId="9" borderId="124" xfId="0" applyNumberFormat="1" applyFont="1" applyFill="1" applyBorder="1" applyAlignment="1">
      <alignment horizontal="right" vertical="center" shrinkToFit="1"/>
    </xf>
    <xf numFmtId="201" fontId="11" fillId="9" borderId="48" xfId="0" applyNumberFormat="1" applyFont="1" applyFill="1" applyBorder="1" applyAlignment="1">
      <alignment horizontal="right" vertical="center" shrinkToFit="1"/>
    </xf>
    <xf numFmtId="201" fontId="11" fillId="9" borderId="75" xfId="0" applyNumberFormat="1" applyFont="1" applyFill="1" applyBorder="1" applyAlignment="1">
      <alignment horizontal="right" vertical="center" shrinkToFit="1"/>
    </xf>
    <xf numFmtId="184" fontId="11" fillId="0" borderId="0" xfId="0" applyNumberFormat="1" applyFont="1" applyAlignment="1">
      <alignment horizontal="center" vertical="center" shrinkToFit="1"/>
    </xf>
    <xf numFmtId="202" fontId="11" fillId="9" borderId="0" xfId="0" applyNumberFormat="1" applyFont="1" applyFill="1" applyAlignment="1">
      <alignment horizontal="right" vertical="center" shrinkToFit="1"/>
    </xf>
    <xf numFmtId="202" fontId="11" fillId="9" borderId="41" xfId="0" applyNumberFormat="1" applyFont="1" applyFill="1" applyBorder="1" applyAlignment="1">
      <alignment horizontal="right" vertical="center" shrinkToFit="1"/>
    </xf>
    <xf numFmtId="0" fontId="11" fillId="9" borderId="35" xfId="0" applyFont="1" applyFill="1" applyBorder="1" applyAlignment="1">
      <alignment horizontal="center" vertical="center"/>
    </xf>
    <xf numFmtId="0" fontId="11" fillId="9" borderId="57" xfId="0" applyFont="1" applyFill="1" applyBorder="1" applyAlignment="1">
      <alignment horizontal="center" vertical="center"/>
    </xf>
    <xf numFmtId="0" fontId="11" fillId="9" borderId="44" xfId="0" applyFont="1" applyFill="1" applyBorder="1" applyAlignment="1">
      <alignment horizontal="center" vertical="center"/>
    </xf>
    <xf numFmtId="0" fontId="11" fillId="9" borderId="68" xfId="0" applyFont="1" applyFill="1" applyBorder="1" applyAlignment="1">
      <alignment horizontal="center" vertical="center"/>
    </xf>
    <xf numFmtId="181" fontId="6" fillId="10" borderId="18" xfId="0" applyNumberFormat="1" applyFont="1" applyFill="1" applyBorder="1" applyAlignment="1">
      <alignment horizontal="center" vertical="center" shrinkToFit="1"/>
    </xf>
    <xf numFmtId="181" fontId="6" fillId="10" borderId="46" xfId="0" applyNumberFormat="1" applyFont="1" applyFill="1" applyBorder="1" applyAlignment="1">
      <alignment horizontal="center" vertical="center" shrinkToFit="1"/>
    </xf>
    <xf numFmtId="0" fontId="9" fillId="0" borderId="80" xfId="0" applyFont="1" applyBorder="1" applyAlignment="1">
      <alignment horizontal="center" vertical="center"/>
    </xf>
    <xf numFmtId="0" fontId="9" fillId="0" borderId="0" xfId="0" applyFont="1" applyAlignment="1">
      <alignment horizontal="center" vertical="center"/>
    </xf>
    <xf numFmtId="187" fontId="6" fillId="0" borderId="0" xfId="0" applyNumberFormat="1" applyFont="1" applyAlignment="1" applyProtection="1">
      <alignment vertical="center" wrapText="1" shrinkToFit="1"/>
      <protection hidden="1"/>
    </xf>
    <xf numFmtId="178" fontId="6" fillId="7" borderId="40" xfId="0" applyNumberFormat="1" applyFont="1" applyFill="1" applyBorder="1" applyAlignment="1" applyProtection="1">
      <alignment horizontal="center" vertical="center" shrinkToFit="1"/>
      <protection hidden="1"/>
    </xf>
    <xf numFmtId="178" fontId="6" fillId="7" borderId="59" xfId="0" applyNumberFormat="1" applyFont="1" applyFill="1" applyBorder="1" applyAlignment="1" applyProtection="1">
      <alignment horizontal="center" vertical="center" shrinkToFit="1"/>
      <protection hidden="1"/>
    </xf>
    <xf numFmtId="0" fontId="6" fillId="8" borderId="40" xfId="0" applyFont="1" applyFill="1" applyBorder="1" applyAlignment="1" applyProtection="1">
      <alignment horizontal="center" vertical="center" shrinkToFit="1"/>
      <protection hidden="1"/>
    </xf>
    <xf numFmtId="0" fontId="6" fillId="8" borderId="101" xfId="0" applyFont="1" applyFill="1" applyBorder="1" applyAlignment="1" applyProtection="1">
      <alignment horizontal="center" vertical="center" shrinkToFit="1"/>
      <protection hidden="1"/>
    </xf>
    <xf numFmtId="0" fontId="6" fillId="9" borderId="40" xfId="0" applyFont="1" applyFill="1" applyBorder="1" applyAlignment="1" applyProtection="1">
      <alignment horizontal="center" vertical="center" shrinkToFit="1"/>
      <protection hidden="1"/>
    </xf>
    <xf numFmtId="0" fontId="6" fillId="9" borderId="59" xfId="0" applyFont="1" applyFill="1" applyBorder="1" applyAlignment="1" applyProtection="1">
      <alignment horizontal="center" vertical="center" shrinkToFit="1"/>
      <protection hidden="1"/>
    </xf>
    <xf numFmtId="0" fontId="6" fillId="8" borderId="58" xfId="0" applyFont="1" applyFill="1" applyBorder="1" applyAlignment="1" applyProtection="1">
      <alignment horizontal="center" vertical="center" shrinkToFit="1"/>
      <protection hidden="1"/>
    </xf>
    <xf numFmtId="0" fontId="6" fillId="2" borderId="40" xfId="0" applyFont="1" applyFill="1" applyBorder="1" applyAlignment="1" applyProtection="1">
      <alignment horizontal="center" vertical="center" shrinkToFit="1"/>
      <protection hidden="1"/>
    </xf>
    <xf numFmtId="0" fontId="6" fillId="2" borderId="59" xfId="0" applyFont="1" applyFill="1" applyBorder="1" applyAlignment="1" applyProtection="1">
      <alignment horizontal="center" vertical="center" shrinkToFit="1"/>
      <protection hidden="1"/>
    </xf>
    <xf numFmtId="0" fontId="6" fillId="3" borderId="113" xfId="0" applyFont="1" applyFill="1" applyBorder="1" applyAlignment="1">
      <alignment horizontal="center" vertical="center" shrinkToFit="1"/>
    </xf>
    <xf numFmtId="0" fontId="6" fillId="3" borderId="114" xfId="0" applyFont="1" applyFill="1" applyBorder="1" applyAlignment="1">
      <alignment horizontal="center" vertical="center" shrinkToFit="1"/>
    </xf>
    <xf numFmtId="0" fontId="4" fillId="0" borderId="0" xfId="0" applyFont="1" applyBorder="1" applyAlignment="1">
      <alignment horizontal="center" vertical="center" wrapText="1" shrinkToFit="1"/>
    </xf>
    <xf numFmtId="195" fontId="4" fillId="0" borderId="0" xfId="0" applyNumberFormat="1" applyFont="1" applyBorder="1" applyAlignment="1">
      <alignment vertical="center" wrapText="1"/>
    </xf>
    <xf numFmtId="0" fontId="6" fillId="0" borderId="0" xfId="0" applyFont="1" applyBorder="1" applyAlignment="1">
      <alignment vertical="center" wrapText="1"/>
    </xf>
    <xf numFmtId="0" fontId="6" fillId="0" borderId="0" xfId="0" applyFont="1" applyAlignment="1">
      <alignment vertical="center" wrapText="1"/>
    </xf>
    <xf numFmtId="0" fontId="6" fillId="0" borderId="45"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left" vertical="center" wrapText="1"/>
    </xf>
    <xf numFmtId="0" fontId="6" fillId="0" borderId="0" xfId="0" applyFont="1" applyAlignment="1">
      <alignment horizontal="center" vertical="center" wrapText="1"/>
    </xf>
    <xf numFmtId="0" fontId="4" fillId="0" borderId="0" xfId="0" applyFont="1" applyBorder="1" applyAlignment="1">
      <alignment vertical="center" wrapText="1" shrinkToFit="1"/>
    </xf>
    <xf numFmtId="0" fontId="4" fillId="0" borderId="0" xfId="0" applyFont="1" applyBorder="1" applyAlignment="1">
      <alignment vertical="center" wrapText="1"/>
    </xf>
  </cellXfs>
  <cellStyles count="2">
    <cellStyle name="ハイパーリンク" xfId="1" builtinId="8"/>
    <cellStyle name="標準" xfId="0" builtinId="0"/>
  </cellStyles>
  <dxfs count="25">
    <dxf>
      <font>
        <condense val="0"/>
        <extend val="0"/>
        <color indexed="18"/>
      </font>
      <fill>
        <patternFill>
          <bgColor indexed="47"/>
        </patternFill>
      </fill>
    </dxf>
    <dxf>
      <font>
        <condense val="0"/>
        <extend val="0"/>
        <color indexed="18"/>
      </font>
      <fill>
        <patternFill patternType="solid">
          <bgColor indexed="14"/>
        </patternFill>
      </fill>
    </dxf>
    <dxf>
      <font>
        <condense val="0"/>
        <extend val="0"/>
        <color indexed="18"/>
      </font>
      <fill>
        <patternFill patternType="solid">
          <bgColor indexed="14"/>
        </patternFill>
      </fill>
    </dxf>
    <dxf>
      <font>
        <condense val="0"/>
        <extend val="0"/>
        <color indexed="18"/>
      </font>
      <fill>
        <patternFill patternType="solid">
          <bgColor indexed="14"/>
        </patternFill>
      </fill>
    </dxf>
    <dxf>
      <font>
        <condense val="0"/>
        <extend val="0"/>
        <color indexed="18"/>
      </font>
      <fill>
        <patternFill patternType="solid">
          <bgColor indexed="14"/>
        </patternFill>
      </fill>
    </dxf>
    <dxf>
      <font>
        <condense val="0"/>
        <extend val="0"/>
        <color indexed="18"/>
      </font>
      <fill>
        <patternFill patternType="solid">
          <bgColor indexed="14"/>
        </patternFill>
      </fill>
    </dxf>
    <dxf>
      <font>
        <condense val="0"/>
        <extend val="0"/>
        <color indexed="18"/>
      </font>
      <fill>
        <patternFill patternType="solid">
          <bgColor indexed="14"/>
        </patternFill>
      </fill>
    </dxf>
    <dxf>
      <font>
        <condense val="0"/>
        <extend val="0"/>
        <color indexed="9"/>
      </font>
      <fill>
        <patternFill>
          <bgColor indexed="18"/>
        </patternFill>
      </fill>
    </dxf>
    <dxf>
      <font>
        <condense val="0"/>
        <extend val="0"/>
        <color indexed="14"/>
      </font>
      <fill>
        <patternFill>
          <bgColor indexed="18"/>
        </patternFill>
      </fill>
    </dxf>
    <dxf>
      <font>
        <condense val="0"/>
        <extend val="0"/>
        <color indexed="9"/>
      </font>
      <fill>
        <patternFill>
          <bgColor indexed="18"/>
        </patternFill>
      </fill>
    </dxf>
    <dxf>
      <font>
        <condense val="0"/>
        <extend val="0"/>
        <color indexed="14"/>
      </font>
      <fill>
        <patternFill>
          <bgColor indexed="18"/>
        </patternFill>
      </fill>
    </dxf>
    <dxf>
      <font>
        <condense val="0"/>
        <extend val="0"/>
        <color indexed="9"/>
      </font>
      <fill>
        <patternFill>
          <bgColor indexed="18"/>
        </patternFill>
      </fill>
    </dxf>
    <dxf>
      <font>
        <condense val="0"/>
        <extend val="0"/>
        <color indexed="14"/>
      </font>
      <fill>
        <patternFill>
          <bgColor indexed="18"/>
        </patternFill>
      </fill>
    </dxf>
    <dxf>
      <font>
        <condense val="0"/>
        <extend val="0"/>
        <color indexed="9"/>
      </font>
      <fill>
        <patternFill>
          <bgColor indexed="18"/>
        </patternFill>
      </fill>
    </dxf>
    <dxf>
      <font>
        <condense val="0"/>
        <extend val="0"/>
        <color indexed="14"/>
      </font>
      <fill>
        <patternFill>
          <bgColor indexed="18"/>
        </patternFill>
      </fill>
    </dxf>
    <dxf>
      <font>
        <condense val="0"/>
        <extend val="0"/>
        <color indexed="9"/>
      </font>
      <fill>
        <patternFill>
          <bgColor indexed="18"/>
        </patternFill>
      </fill>
    </dxf>
    <dxf>
      <font>
        <condense val="0"/>
        <extend val="0"/>
        <color indexed="14"/>
      </font>
      <fill>
        <patternFill>
          <bgColor indexed="18"/>
        </patternFill>
      </fill>
    </dxf>
    <dxf>
      <font>
        <condense val="0"/>
        <extend val="0"/>
        <color indexed="9"/>
      </font>
      <fill>
        <patternFill>
          <bgColor indexed="18"/>
        </patternFill>
      </fill>
    </dxf>
    <dxf>
      <font>
        <condense val="0"/>
        <extend val="0"/>
        <color indexed="14"/>
      </font>
      <fill>
        <patternFill>
          <bgColor indexed="18"/>
        </patternFill>
      </fill>
    </dxf>
    <dxf>
      <font>
        <condense val="0"/>
        <extend val="0"/>
        <color auto="1"/>
      </font>
      <fill>
        <patternFill>
          <bgColor indexed="47"/>
        </patternFill>
      </fill>
    </dxf>
    <dxf>
      <font>
        <condense val="0"/>
        <extend val="0"/>
        <color auto="1"/>
      </font>
      <fill>
        <patternFill>
          <bgColor indexed="47"/>
        </patternFill>
      </fill>
    </dxf>
    <dxf>
      <font>
        <condense val="0"/>
        <extend val="0"/>
        <color auto="1"/>
      </font>
      <fill>
        <patternFill>
          <bgColor indexed="47"/>
        </patternFill>
      </fill>
    </dxf>
    <dxf>
      <font>
        <condense val="0"/>
        <extend val="0"/>
        <color auto="1"/>
      </font>
      <fill>
        <patternFill>
          <bgColor indexed="47"/>
        </patternFill>
      </fill>
    </dxf>
    <dxf>
      <font>
        <condense val="0"/>
        <extend val="0"/>
        <color auto="1"/>
      </font>
      <fill>
        <patternFill>
          <bgColor indexed="47"/>
        </patternFill>
      </fill>
    </dxf>
    <dxf>
      <font>
        <condense val="0"/>
        <extend val="0"/>
        <color auto="1"/>
      </font>
      <fill>
        <patternFill>
          <bgColor indexed="4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DF9B21"/>
      <rgbColor rgb="00FFFF00"/>
      <rgbColor rgb="00FFF9EF"/>
      <rgbColor rgb="0000FFFF"/>
      <rgbColor rgb="00A50021"/>
      <rgbColor rgb="00008000"/>
      <rgbColor rgb="00D82F22"/>
      <rgbColor rgb="00808000"/>
      <rgbColor rgb="00C0C0C0"/>
      <rgbColor rgb="00008080"/>
      <rgbColor rgb="00B2B2B2"/>
      <rgbColor rgb="00333333"/>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4F912B"/>
      <rgbColor rgb="00E1EFFF"/>
      <rgbColor rgb="00E8F9E7"/>
      <rgbColor rgb="00FFF4D9"/>
      <rgbColor rgb="00543D95"/>
      <rgbColor rgb="00CCECFF"/>
      <rgbColor rgb="00EAEAEA"/>
      <rgbColor rgb="00FFDDDD"/>
      <rgbColor rgb="00A8BD2D"/>
      <rgbColor rgb="0033CCCC"/>
      <rgbColor rgb="0099CC00"/>
      <rgbColor rgb="00FEC698"/>
      <rgbColor rgb="00FF9900"/>
      <rgbColor rgb="00FF6600"/>
      <rgbColor rgb="004B2AD6"/>
      <rgbColor rgb="00808080"/>
      <rgbColor rgb="00EAE8F8"/>
      <rgbColor rgb="00339966"/>
      <rgbColor rgb="00F3E0D1"/>
      <rgbColor rgb="00F3F1ED"/>
      <rgbColor rgb="00E2F1FA"/>
      <rgbColor rgb="00DDDDDD"/>
      <rgbColor rgb="00FCEECC"/>
      <rgbColor rgb="00333333"/>
    </indexedColors>
    <mruColors>
      <color rgb="FFFFFFCC"/>
      <color rgb="FFFFCCCC"/>
      <color rgb="FFFAF1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600792547990322E-2"/>
          <c:y val="4.8611111111111112E-2"/>
          <c:w val="0.91354063095054294"/>
          <c:h val="0.87361504811898716"/>
        </c:manualLayout>
      </c:layout>
      <c:barChart>
        <c:barDir val="bar"/>
        <c:grouping val="stacked"/>
        <c:varyColors val="0"/>
        <c:ser>
          <c:idx val="0"/>
          <c:order val="0"/>
          <c:spPr>
            <a:noFill/>
            <a:ln w="25400">
              <a:noFill/>
            </a:ln>
          </c:spPr>
          <c:invertIfNegative val="0"/>
          <c:val>
            <c:numRef>
              <c:f>⑫防露計算!$AC$6</c:f>
              <c:numCache>
                <c:formatCode>General</c:formatCode>
                <c:ptCount val="1"/>
                <c:pt idx="0">
                  <c:v>50</c:v>
                </c:pt>
              </c:numCache>
            </c:numRef>
          </c:val>
          <c:extLst>
            <c:ext xmlns:c16="http://schemas.microsoft.com/office/drawing/2014/chart" uri="{C3380CC4-5D6E-409C-BE32-E72D297353CC}">
              <c16:uniqueId val="{00000000-5E02-443E-82A6-08B12B5390E4}"/>
            </c:ext>
          </c:extLst>
        </c:ser>
        <c:ser>
          <c:idx val="1"/>
          <c:order val="1"/>
          <c:spPr>
            <a:solidFill>
              <a:srgbClr val="FF9900"/>
            </a:solidFill>
            <a:ln w="3175">
              <a:solidFill>
                <a:srgbClr val="000000"/>
              </a:solidFill>
              <a:prstDash val="solid"/>
            </a:ln>
          </c:spPr>
          <c:invertIfNegative val="0"/>
          <c:val>
            <c:numRef>
              <c:f>⑫防露計算!$AC$7</c:f>
              <c:numCache>
                <c:formatCode>0.0_ ;[Red]\-0.0\ </c:formatCode>
                <c:ptCount val="1"/>
                <c:pt idx="0">
                  <c:v>0</c:v>
                </c:pt>
              </c:numCache>
            </c:numRef>
          </c:val>
          <c:extLst>
            <c:ext xmlns:c16="http://schemas.microsoft.com/office/drawing/2014/chart" uri="{C3380CC4-5D6E-409C-BE32-E72D297353CC}">
              <c16:uniqueId val="{00000001-5E02-443E-82A6-08B12B5390E4}"/>
            </c:ext>
          </c:extLst>
        </c:ser>
        <c:ser>
          <c:idx val="2"/>
          <c:order val="2"/>
          <c:spPr>
            <a:solidFill>
              <a:srgbClr val="FEC698"/>
            </a:solidFill>
            <a:ln w="3175">
              <a:solidFill>
                <a:srgbClr val="000000"/>
              </a:solidFill>
              <a:prstDash val="solid"/>
            </a:ln>
          </c:spPr>
          <c:invertIfNegative val="0"/>
          <c:val>
            <c:numRef>
              <c:f>⑫防露計算!$AC$8</c:f>
              <c:numCache>
                <c:formatCode>0.0_ ;[Red]\-0.0\ </c:formatCode>
                <c:ptCount val="1"/>
                <c:pt idx="0">
                  <c:v>0</c:v>
                </c:pt>
              </c:numCache>
            </c:numRef>
          </c:val>
          <c:extLst>
            <c:ext xmlns:c16="http://schemas.microsoft.com/office/drawing/2014/chart" uri="{C3380CC4-5D6E-409C-BE32-E72D297353CC}">
              <c16:uniqueId val="{00000002-5E02-443E-82A6-08B12B5390E4}"/>
            </c:ext>
          </c:extLst>
        </c:ser>
        <c:ser>
          <c:idx val="3"/>
          <c:order val="3"/>
          <c:spPr>
            <a:solidFill>
              <a:srgbClr val="FFDDDD"/>
            </a:solidFill>
            <a:ln w="3175">
              <a:solidFill>
                <a:srgbClr val="000000"/>
              </a:solidFill>
              <a:prstDash val="solid"/>
            </a:ln>
          </c:spPr>
          <c:invertIfNegative val="0"/>
          <c:val>
            <c:numRef>
              <c:f>⑫防露計算!$AC$9</c:f>
              <c:numCache>
                <c:formatCode>0.0_ ;[Red]\-0.0\ </c:formatCode>
                <c:ptCount val="1"/>
                <c:pt idx="0">
                  <c:v>0</c:v>
                </c:pt>
              </c:numCache>
            </c:numRef>
          </c:val>
          <c:extLst>
            <c:ext xmlns:c16="http://schemas.microsoft.com/office/drawing/2014/chart" uri="{C3380CC4-5D6E-409C-BE32-E72D297353CC}">
              <c16:uniqueId val="{00000003-5E02-443E-82A6-08B12B5390E4}"/>
            </c:ext>
          </c:extLst>
        </c:ser>
        <c:ser>
          <c:idx val="4"/>
          <c:order val="4"/>
          <c:spPr>
            <a:solidFill>
              <a:srgbClr val="F3E0D1"/>
            </a:solidFill>
            <a:ln w="3175">
              <a:solidFill>
                <a:srgbClr val="000000"/>
              </a:solidFill>
              <a:prstDash val="solid"/>
            </a:ln>
          </c:spPr>
          <c:invertIfNegative val="0"/>
          <c:val>
            <c:numRef>
              <c:f>⑫防露計算!$AC$10</c:f>
              <c:numCache>
                <c:formatCode>0.0_ ;[Red]\-0.0\ </c:formatCode>
                <c:ptCount val="1"/>
                <c:pt idx="0">
                  <c:v>0</c:v>
                </c:pt>
              </c:numCache>
            </c:numRef>
          </c:val>
          <c:extLst>
            <c:ext xmlns:c16="http://schemas.microsoft.com/office/drawing/2014/chart" uri="{C3380CC4-5D6E-409C-BE32-E72D297353CC}">
              <c16:uniqueId val="{00000004-5E02-443E-82A6-08B12B5390E4}"/>
            </c:ext>
          </c:extLst>
        </c:ser>
        <c:ser>
          <c:idx val="5"/>
          <c:order val="5"/>
          <c:spPr>
            <a:solidFill>
              <a:srgbClr val="FFF4D9"/>
            </a:solidFill>
            <a:ln w="3175">
              <a:solidFill>
                <a:srgbClr val="000000"/>
              </a:solidFill>
              <a:prstDash val="solid"/>
            </a:ln>
          </c:spPr>
          <c:invertIfNegative val="0"/>
          <c:val>
            <c:numRef>
              <c:f>⑫防露計算!$AC$11</c:f>
              <c:numCache>
                <c:formatCode>0.0_ ;[Red]\-0.0\ </c:formatCode>
                <c:ptCount val="1"/>
                <c:pt idx="0">
                  <c:v>0</c:v>
                </c:pt>
              </c:numCache>
            </c:numRef>
          </c:val>
          <c:extLst>
            <c:ext xmlns:c16="http://schemas.microsoft.com/office/drawing/2014/chart" uri="{C3380CC4-5D6E-409C-BE32-E72D297353CC}">
              <c16:uniqueId val="{00000005-5E02-443E-82A6-08B12B5390E4}"/>
            </c:ext>
          </c:extLst>
        </c:ser>
        <c:ser>
          <c:idx val="6"/>
          <c:order val="6"/>
          <c:spPr>
            <a:solidFill>
              <a:srgbClr val="FFF9EF"/>
            </a:solidFill>
            <a:ln w="3175">
              <a:solidFill>
                <a:srgbClr val="000000"/>
              </a:solidFill>
              <a:prstDash val="solid"/>
            </a:ln>
          </c:spPr>
          <c:invertIfNegative val="0"/>
          <c:val>
            <c:numRef>
              <c:f>⑫防露計算!$AC$12</c:f>
              <c:numCache>
                <c:formatCode>0.0_ ;[Red]\-0.0\ </c:formatCode>
                <c:ptCount val="1"/>
                <c:pt idx="0">
                  <c:v>0</c:v>
                </c:pt>
              </c:numCache>
            </c:numRef>
          </c:val>
          <c:extLst>
            <c:ext xmlns:c16="http://schemas.microsoft.com/office/drawing/2014/chart" uri="{C3380CC4-5D6E-409C-BE32-E72D297353CC}">
              <c16:uniqueId val="{00000006-5E02-443E-82A6-08B12B5390E4}"/>
            </c:ext>
          </c:extLst>
        </c:ser>
        <c:ser>
          <c:idx val="7"/>
          <c:order val="7"/>
          <c:spPr>
            <a:solidFill>
              <a:srgbClr val="F3F1ED"/>
            </a:solidFill>
            <a:ln w="3175">
              <a:solidFill>
                <a:srgbClr val="000000"/>
              </a:solidFill>
              <a:prstDash val="solid"/>
            </a:ln>
          </c:spPr>
          <c:invertIfNegative val="0"/>
          <c:val>
            <c:numRef>
              <c:f>⑫防露計算!$AC$13</c:f>
              <c:numCache>
                <c:formatCode>0.0_ ;[Red]\-0.0\ </c:formatCode>
                <c:ptCount val="1"/>
                <c:pt idx="0">
                  <c:v>0</c:v>
                </c:pt>
              </c:numCache>
            </c:numRef>
          </c:val>
          <c:extLst>
            <c:ext xmlns:c16="http://schemas.microsoft.com/office/drawing/2014/chart" uri="{C3380CC4-5D6E-409C-BE32-E72D297353CC}">
              <c16:uniqueId val="{00000007-5E02-443E-82A6-08B12B5390E4}"/>
            </c:ext>
          </c:extLst>
        </c:ser>
        <c:ser>
          <c:idx val="8"/>
          <c:order val="8"/>
          <c:spPr>
            <a:solidFill>
              <a:srgbClr val="EAEAEA"/>
            </a:solidFill>
            <a:ln w="3175">
              <a:solidFill>
                <a:srgbClr val="000000"/>
              </a:solidFill>
              <a:prstDash val="solid"/>
            </a:ln>
          </c:spPr>
          <c:invertIfNegative val="0"/>
          <c:val>
            <c:numRef>
              <c:f>⑫防露計算!$AC$14</c:f>
              <c:numCache>
                <c:formatCode>0.0_ ;[Red]\-0.0\ </c:formatCode>
                <c:ptCount val="1"/>
                <c:pt idx="0">
                  <c:v>0</c:v>
                </c:pt>
              </c:numCache>
            </c:numRef>
          </c:val>
          <c:extLst>
            <c:ext xmlns:c16="http://schemas.microsoft.com/office/drawing/2014/chart" uri="{C3380CC4-5D6E-409C-BE32-E72D297353CC}">
              <c16:uniqueId val="{00000008-5E02-443E-82A6-08B12B5390E4}"/>
            </c:ext>
          </c:extLst>
        </c:ser>
        <c:ser>
          <c:idx val="9"/>
          <c:order val="9"/>
          <c:spPr>
            <a:solidFill>
              <a:srgbClr val="DDDDDD"/>
            </a:solidFill>
            <a:ln w="3175">
              <a:solidFill>
                <a:srgbClr val="000000"/>
              </a:solidFill>
              <a:prstDash val="solid"/>
            </a:ln>
          </c:spPr>
          <c:invertIfNegative val="0"/>
          <c:val>
            <c:numRef>
              <c:f>⑫防露計算!$AC$15</c:f>
              <c:numCache>
                <c:formatCode>0.0_ ;[Red]\-0.0\ </c:formatCode>
                <c:ptCount val="1"/>
                <c:pt idx="0">
                  <c:v>0</c:v>
                </c:pt>
              </c:numCache>
            </c:numRef>
          </c:val>
          <c:extLst>
            <c:ext xmlns:c16="http://schemas.microsoft.com/office/drawing/2014/chart" uri="{C3380CC4-5D6E-409C-BE32-E72D297353CC}">
              <c16:uniqueId val="{00000009-5E02-443E-82A6-08B12B5390E4}"/>
            </c:ext>
          </c:extLst>
        </c:ser>
        <c:ser>
          <c:idx val="10"/>
          <c:order val="10"/>
          <c:spPr>
            <a:solidFill>
              <a:srgbClr val="C0C0C0"/>
            </a:solidFill>
            <a:ln w="3175">
              <a:solidFill>
                <a:srgbClr val="000000"/>
              </a:solidFill>
              <a:prstDash val="solid"/>
            </a:ln>
          </c:spPr>
          <c:invertIfNegative val="0"/>
          <c:val>
            <c:numRef>
              <c:f>⑫防露計算!$AC$16</c:f>
              <c:numCache>
                <c:formatCode>0.0_ ;[Red]\-0.0\ </c:formatCode>
                <c:ptCount val="1"/>
                <c:pt idx="0">
                  <c:v>0</c:v>
                </c:pt>
              </c:numCache>
            </c:numRef>
          </c:val>
          <c:extLst>
            <c:ext xmlns:c16="http://schemas.microsoft.com/office/drawing/2014/chart" uri="{C3380CC4-5D6E-409C-BE32-E72D297353CC}">
              <c16:uniqueId val="{0000000A-5E02-443E-82A6-08B12B5390E4}"/>
            </c:ext>
          </c:extLst>
        </c:ser>
        <c:ser>
          <c:idx val="11"/>
          <c:order val="11"/>
          <c:spPr>
            <a:solidFill>
              <a:srgbClr val="B2B2B2"/>
            </a:solidFill>
            <a:ln w="3175">
              <a:solidFill>
                <a:srgbClr val="000000"/>
              </a:solidFill>
              <a:prstDash val="solid"/>
            </a:ln>
          </c:spPr>
          <c:invertIfNegative val="0"/>
          <c:val>
            <c:numRef>
              <c:f>⑫防露計算!$AC$17</c:f>
              <c:numCache>
                <c:formatCode>0.0_ ;[Red]\-0.0\ </c:formatCode>
                <c:ptCount val="1"/>
                <c:pt idx="0">
                  <c:v>0</c:v>
                </c:pt>
              </c:numCache>
            </c:numRef>
          </c:val>
          <c:extLst>
            <c:ext xmlns:c16="http://schemas.microsoft.com/office/drawing/2014/chart" uri="{C3380CC4-5D6E-409C-BE32-E72D297353CC}">
              <c16:uniqueId val="{0000000B-5E02-443E-82A6-08B12B5390E4}"/>
            </c:ext>
          </c:extLst>
        </c:ser>
        <c:ser>
          <c:idx val="12"/>
          <c:order val="12"/>
          <c:spPr>
            <a:solidFill>
              <a:srgbClr val="808080"/>
            </a:solidFill>
            <a:ln w="12700">
              <a:solidFill>
                <a:srgbClr val="000000"/>
              </a:solidFill>
              <a:prstDash val="solid"/>
            </a:ln>
          </c:spPr>
          <c:invertIfNegative val="0"/>
          <c:dPt>
            <c:idx val="0"/>
            <c:invertIfNegative val="0"/>
            <c:bubble3D val="0"/>
            <c:spPr>
              <a:solidFill>
                <a:srgbClr val="808080"/>
              </a:solidFill>
              <a:ln w="3175">
                <a:solidFill>
                  <a:srgbClr val="000000"/>
                </a:solidFill>
                <a:prstDash val="solid"/>
              </a:ln>
            </c:spPr>
            <c:extLst>
              <c:ext xmlns:c16="http://schemas.microsoft.com/office/drawing/2014/chart" uri="{C3380CC4-5D6E-409C-BE32-E72D297353CC}">
                <c16:uniqueId val="{0000000D-5E02-443E-82A6-08B12B5390E4}"/>
              </c:ext>
            </c:extLst>
          </c:dPt>
          <c:val>
            <c:numRef>
              <c:f>⑫防露計算!$AC$18</c:f>
              <c:numCache>
                <c:formatCode>0.0_ ;[Red]\-0.0\ </c:formatCode>
                <c:ptCount val="1"/>
                <c:pt idx="0">
                  <c:v>0</c:v>
                </c:pt>
              </c:numCache>
            </c:numRef>
          </c:val>
          <c:extLst>
            <c:ext xmlns:c16="http://schemas.microsoft.com/office/drawing/2014/chart" uri="{C3380CC4-5D6E-409C-BE32-E72D297353CC}">
              <c16:uniqueId val="{0000000E-5E02-443E-82A6-08B12B5390E4}"/>
            </c:ext>
          </c:extLst>
        </c:ser>
        <c:ser>
          <c:idx val="13"/>
          <c:order val="13"/>
          <c:spPr>
            <a:noFill/>
            <a:ln w="25400">
              <a:noFill/>
            </a:ln>
          </c:spPr>
          <c:invertIfNegative val="0"/>
          <c:dPt>
            <c:idx val="0"/>
            <c:invertIfNegative val="0"/>
            <c:bubble3D val="0"/>
            <c:spPr>
              <a:noFill/>
              <a:ln w="25400">
                <a:solidFill>
                  <a:schemeClr val="bg1">
                    <a:lumMod val="50000"/>
                  </a:schemeClr>
                </a:solidFill>
                <a:prstDash val="sysDash"/>
              </a:ln>
            </c:spPr>
            <c:extLst>
              <c:ext xmlns:c16="http://schemas.microsoft.com/office/drawing/2014/chart" uri="{C3380CC4-5D6E-409C-BE32-E72D297353CC}">
                <c16:uniqueId val="{00000002-F513-4723-9D7E-29D575E8607E}"/>
              </c:ext>
            </c:extLst>
          </c:dPt>
          <c:val>
            <c:numRef>
              <c:f>⑫防露計算!$AC$19</c:f>
              <c:numCache>
                <c:formatCode>0.0_ ;[Red]\-0.0\ </c:formatCode>
                <c:ptCount val="1"/>
                <c:pt idx="0">
                  <c:v>18</c:v>
                </c:pt>
              </c:numCache>
            </c:numRef>
          </c:val>
          <c:extLst>
            <c:ext xmlns:c16="http://schemas.microsoft.com/office/drawing/2014/chart" uri="{C3380CC4-5D6E-409C-BE32-E72D297353CC}">
              <c16:uniqueId val="{0000000F-5E02-443E-82A6-08B12B5390E4}"/>
            </c:ext>
          </c:extLst>
        </c:ser>
        <c:ser>
          <c:idx val="14"/>
          <c:order val="14"/>
          <c:spPr>
            <a:noFill/>
            <a:ln w="25400">
              <a:noFill/>
            </a:ln>
          </c:spPr>
          <c:invertIfNegative val="0"/>
          <c:val>
            <c:numRef>
              <c:f>⑫防露計算!$AC$20</c:f>
              <c:numCache>
                <c:formatCode>General</c:formatCode>
                <c:ptCount val="1"/>
                <c:pt idx="0">
                  <c:v>50</c:v>
                </c:pt>
              </c:numCache>
            </c:numRef>
          </c:val>
          <c:extLst>
            <c:ext xmlns:c16="http://schemas.microsoft.com/office/drawing/2014/chart" uri="{C3380CC4-5D6E-409C-BE32-E72D297353CC}">
              <c16:uniqueId val="{00000010-5E02-443E-82A6-08B12B5390E4}"/>
            </c:ext>
          </c:extLst>
        </c:ser>
        <c:dLbls>
          <c:showLegendKey val="0"/>
          <c:showVal val="0"/>
          <c:showCatName val="0"/>
          <c:showSerName val="0"/>
          <c:showPercent val="0"/>
          <c:showBubbleSize val="0"/>
        </c:dLbls>
        <c:gapWidth val="0"/>
        <c:overlap val="100"/>
        <c:axId val="544725896"/>
        <c:axId val="544045976"/>
      </c:barChart>
      <c:catAx>
        <c:axId val="544725896"/>
        <c:scaling>
          <c:orientation val="minMax"/>
        </c:scaling>
        <c:delete val="1"/>
        <c:axPos val="l"/>
        <c:majorTickMark val="out"/>
        <c:minorTickMark val="none"/>
        <c:tickLblPos val="none"/>
        <c:crossAx val="544045976"/>
        <c:crosses val="autoZero"/>
        <c:auto val="1"/>
        <c:lblAlgn val="ctr"/>
        <c:lblOffset val="100"/>
        <c:noMultiLvlLbl val="0"/>
      </c:catAx>
      <c:valAx>
        <c:axId val="544045976"/>
        <c:scaling>
          <c:orientation val="minMax"/>
        </c:scaling>
        <c:delete val="1"/>
        <c:axPos val="b"/>
        <c:majorGridlines>
          <c:spPr>
            <a:ln w="3175">
              <a:solidFill>
                <a:srgbClr val="FFFFFF"/>
              </a:solidFill>
              <a:prstDash val="solid"/>
            </a:ln>
          </c:spPr>
        </c:majorGridlines>
        <c:numFmt formatCode="General" sourceLinked="1"/>
        <c:majorTickMark val="out"/>
        <c:minorTickMark val="none"/>
        <c:tickLblPos val="none"/>
        <c:crossAx val="544725896"/>
        <c:crosses val="autoZero"/>
        <c:crossBetween val="between"/>
      </c:valAx>
      <c:spPr>
        <a:solidFill>
          <a:srgbClr val="F3F1ED"/>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67" r="0.75000000000000167"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50098231827599E-2"/>
          <c:y val="4.6980314960629925E-2"/>
          <c:w val="0.91159135559921411"/>
          <c:h val="0.87558967629046369"/>
        </c:manualLayout>
      </c:layout>
      <c:scatterChart>
        <c:scatterStyle val="lineMarker"/>
        <c:varyColors val="0"/>
        <c:ser>
          <c:idx val="0"/>
          <c:order val="0"/>
          <c:tx>
            <c:strRef>
              <c:f>⑫防露計算!$AE$3</c:f>
              <c:strCache>
                <c:ptCount val="1"/>
                <c:pt idx="0">
                  <c:v>境界面温度</c:v>
                </c:pt>
              </c:strCache>
            </c:strRef>
          </c:tx>
          <c:spPr>
            <a:ln w="25400">
              <a:solidFill>
                <a:srgbClr val="A50021"/>
              </a:solidFill>
              <a:prstDash val="solid"/>
            </a:ln>
          </c:spPr>
          <c:marker>
            <c:symbol val="circle"/>
            <c:size val="5"/>
            <c:spPr>
              <a:solidFill>
                <a:srgbClr val="A50021"/>
              </a:solidFill>
              <a:ln w="9525">
                <a:noFill/>
              </a:ln>
            </c:spPr>
          </c:marker>
          <c:dLbls>
            <c:dLbl>
              <c:idx val="0"/>
              <c:layout>
                <c:manualLayout>
                  <c:x val="-5.8458508010663622E-3"/>
                  <c:y val="-4.1770249781965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858-49AF-B02D-FD905D6F2884}"/>
                </c:ext>
              </c:extLst>
            </c:dLbl>
            <c:numFmt formatCode="0.0\ &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⑫防露計算!$AD$136:$AD$152</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⑫防露計算!$AE$136:$AE$152</c:f>
              <c:numCache>
                <c:formatCode>#,##0.00_ ;[Red]\-#,##0.00\ </c:formatCode>
                <c:ptCount val="17"/>
                <c:pt idx="0">
                  <c:v>15</c:v>
                </c:pt>
                <c:pt idx="1">
                  <c:v>15</c:v>
                </c:pt>
                <c:pt idx="2">
                  <c:v>9.3000000000000007</c:v>
                </c:pt>
                <c:pt idx="3">
                  <c:v>9.3000000000000007</c:v>
                </c:pt>
                <c:pt idx="4">
                  <c:v>9.3000000000000007</c:v>
                </c:pt>
                <c:pt idx="5">
                  <c:v>9.3000000000000007</c:v>
                </c:pt>
                <c:pt idx="6">
                  <c:v>9.3000000000000007</c:v>
                </c:pt>
                <c:pt idx="7">
                  <c:v>9.3000000000000007</c:v>
                </c:pt>
                <c:pt idx="8">
                  <c:v>9.3000000000000007</c:v>
                </c:pt>
                <c:pt idx="9">
                  <c:v>9.3000000000000007</c:v>
                </c:pt>
                <c:pt idx="10">
                  <c:v>9.3000000000000007</c:v>
                </c:pt>
                <c:pt idx="11">
                  <c:v>9.3000000000000007</c:v>
                </c:pt>
                <c:pt idx="12">
                  <c:v>9.3000000000000007</c:v>
                </c:pt>
                <c:pt idx="13">
                  <c:v>9.3000000000000007</c:v>
                </c:pt>
                <c:pt idx="14">
                  <c:v>9.3000000000000007</c:v>
                </c:pt>
                <c:pt idx="15">
                  <c:v>3.6</c:v>
                </c:pt>
                <c:pt idx="16">
                  <c:v>3.6</c:v>
                </c:pt>
              </c:numCache>
            </c:numRef>
          </c:yVal>
          <c:smooth val="0"/>
          <c:extLst>
            <c:ext xmlns:c16="http://schemas.microsoft.com/office/drawing/2014/chart" uri="{C3380CC4-5D6E-409C-BE32-E72D297353CC}">
              <c16:uniqueId val="{00000001-B858-49AF-B02D-FD905D6F2884}"/>
            </c:ext>
          </c:extLst>
        </c:ser>
        <c:ser>
          <c:idx val="1"/>
          <c:order val="1"/>
          <c:tx>
            <c:strRef>
              <c:f>⑫防露計算!$AF$3</c:f>
              <c:strCache>
                <c:ptCount val="1"/>
                <c:pt idx="0">
                  <c:v>露点温度</c:v>
                </c:pt>
              </c:strCache>
            </c:strRef>
          </c:tx>
          <c:spPr>
            <a:ln w="25400">
              <a:solidFill>
                <a:srgbClr val="543D95"/>
              </a:solidFill>
              <a:prstDash val="solid"/>
            </a:ln>
          </c:spPr>
          <c:marker>
            <c:symbol val="circle"/>
            <c:size val="5"/>
            <c:spPr>
              <a:solidFill>
                <a:srgbClr val="543D95"/>
              </a:solidFill>
              <a:ln w="9525">
                <a:noFill/>
              </a:ln>
            </c:spPr>
          </c:marker>
          <c:dLbls>
            <c:dLbl>
              <c:idx val="0"/>
              <c:layout>
                <c:manualLayout>
                  <c:x val="-5.8458508010663822E-3"/>
                  <c:y val="-4.1452170955767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58-49AF-B02D-FD905D6F2884}"/>
                </c:ext>
              </c:extLst>
            </c:dLbl>
            <c:numFmt formatCode="0.0\ &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⑫防露計算!$AD$136:$AD$152</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⑫防露計算!$AF$136:$AF$152</c:f>
              <c:numCache>
                <c:formatCode>#,##0.00_ ;[Red]\-#,##0.00\ </c:formatCode>
                <c:ptCount val="17"/>
                <c:pt idx="0">
                  <c:v>7.3061185391618908</c:v>
                </c:pt>
                <c:pt idx="1">
                  <c:v>7.3061185391618908</c:v>
                </c:pt>
                <c:pt idx="2">
                  <c:v>7.1525963981427259</c:v>
                </c:pt>
                <c:pt idx="3">
                  <c:v>7.1525963981427259</c:v>
                </c:pt>
                <c:pt idx="4">
                  <c:v>7.1525963981427259</c:v>
                </c:pt>
                <c:pt idx="5">
                  <c:v>7.1525963981427259</c:v>
                </c:pt>
                <c:pt idx="6">
                  <c:v>7.1525963981427259</c:v>
                </c:pt>
                <c:pt idx="7">
                  <c:v>7.1525963981427259</c:v>
                </c:pt>
                <c:pt idx="8">
                  <c:v>7.1525963981427259</c:v>
                </c:pt>
                <c:pt idx="9">
                  <c:v>7.1525963981427259</c:v>
                </c:pt>
                <c:pt idx="10">
                  <c:v>7.1525963981427259</c:v>
                </c:pt>
                <c:pt idx="11">
                  <c:v>7.1525963981427259</c:v>
                </c:pt>
                <c:pt idx="12">
                  <c:v>7.1525963981427259</c:v>
                </c:pt>
                <c:pt idx="13">
                  <c:v>7.1525963981427259</c:v>
                </c:pt>
                <c:pt idx="14">
                  <c:v>7.1525963981427259</c:v>
                </c:pt>
                <c:pt idx="15">
                  <c:v>-1.3468270695015434</c:v>
                </c:pt>
                <c:pt idx="16">
                  <c:v>-1.3468270695015434</c:v>
                </c:pt>
              </c:numCache>
            </c:numRef>
          </c:yVal>
          <c:smooth val="0"/>
          <c:extLst>
            <c:ext xmlns:c16="http://schemas.microsoft.com/office/drawing/2014/chart" uri="{C3380CC4-5D6E-409C-BE32-E72D297353CC}">
              <c16:uniqueId val="{00000003-B858-49AF-B02D-FD905D6F2884}"/>
            </c:ext>
          </c:extLst>
        </c:ser>
        <c:dLbls>
          <c:showLegendKey val="0"/>
          <c:showVal val="0"/>
          <c:showCatName val="0"/>
          <c:showSerName val="0"/>
          <c:showPercent val="0"/>
          <c:showBubbleSize val="0"/>
        </c:dLbls>
        <c:axId val="544045584"/>
        <c:axId val="544046368"/>
      </c:scatterChart>
      <c:valAx>
        <c:axId val="544045584"/>
        <c:scaling>
          <c:orientation val="minMax"/>
        </c:scaling>
        <c:delete val="1"/>
        <c:axPos val="b"/>
        <c:numFmt formatCode="#,##0.00_ ;[Red]\-#,##0.00\ " sourceLinked="1"/>
        <c:majorTickMark val="out"/>
        <c:minorTickMark val="none"/>
        <c:tickLblPos val="none"/>
        <c:crossAx val="544046368"/>
        <c:crosses val="autoZero"/>
        <c:crossBetween val="midCat"/>
      </c:valAx>
      <c:valAx>
        <c:axId val="544046368"/>
        <c:scaling>
          <c:orientation val="minMax"/>
        </c:scaling>
        <c:delete val="0"/>
        <c:axPos val="l"/>
        <c:majorGridlines>
          <c:spPr>
            <a:ln w="3175">
              <a:solidFill>
                <a:srgbClr val="000000"/>
              </a:solidFill>
              <a:prstDash val="solid"/>
            </a:ln>
          </c:spPr>
        </c:majorGridlines>
        <c:numFmt formatCode="0\ &quot;℃&quot;" sourceLinked="0"/>
        <c:majorTickMark val="in"/>
        <c:minorTickMark val="none"/>
        <c:tickLblPos val="nextTo"/>
        <c:spPr>
          <a:ln w="3175">
            <a:solidFill>
              <a:srgbClr val="000000"/>
            </a:solidFill>
            <a:prstDash val="solid"/>
          </a:ln>
        </c:spPr>
        <c:txPr>
          <a:bodyPr rot="0" vert="horz"/>
          <a:lstStyle/>
          <a:p>
            <a:pPr>
              <a:defRPr/>
            </a:pPr>
            <a:endParaRPr lang="ja-JP"/>
          </a:p>
        </c:txPr>
        <c:crossAx val="544045584"/>
        <c:crosses val="autoZero"/>
        <c:crossBetween val="midCat"/>
      </c:valAx>
      <c:spPr>
        <a:noFill/>
        <a:ln w="25400">
          <a:noFill/>
        </a:ln>
      </c:spPr>
    </c:plotArea>
    <c:legend>
      <c:legendPos val="r"/>
      <c:layout>
        <c:manualLayout>
          <c:xMode val="edge"/>
          <c:yMode val="edge"/>
          <c:x val="0.6313626657435103"/>
          <c:y val="0.93333333333333335"/>
          <c:w val="0.36666666666666703"/>
          <c:h val="6.6666666666666763E-2"/>
        </c:manualLayout>
      </c:layout>
      <c:overlay val="0"/>
      <c:spPr>
        <a:solidFill>
          <a:srgbClr val="FFFFFF"/>
        </a:solid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BIZ UDPゴシック" panose="020B0400000000000000" pitchFamily="50" charset="-128"/>
          <a:ea typeface="BIZ UDPゴシック" panose="020B0400000000000000" pitchFamily="50" charset="-128"/>
          <a:cs typeface="ＭＳ Ｐゴシック"/>
        </a:defRPr>
      </a:pPr>
      <a:endParaRPr lang="ja-JP"/>
    </a:p>
  </c:txPr>
  <c:printSettings>
    <c:headerFooter alignWithMargins="0"/>
    <c:pageMargins b="1" l="0.75000000000000167" r="0.75000000000000167" t="1" header="0.51200000000000001" footer="0.51200000000000001"/>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50098231827599E-2"/>
          <c:y val="4.6980314960629925E-2"/>
          <c:w val="0.91159135559921411"/>
          <c:h val="0.87558967629046369"/>
        </c:manualLayout>
      </c:layout>
      <c:scatterChart>
        <c:scatterStyle val="lineMarker"/>
        <c:varyColors val="0"/>
        <c:ser>
          <c:idx val="0"/>
          <c:order val="0"/>
          <c:tx>
            <c:strRef>
              <c:f>⑫防露計算!$AE$3</c:f>
              <c:strCache>
                <c:ptCount val="1"/>
                <c:pt idx="0">
                  <c:v>境界面温度</c:v>
                </c:pt>
              </c:strCache>
            </c:strRef>
          </c:tx>
          <c:spPr>
            <a:ln w="25400">
              <a:solidFill>
                <a:srgbClr val="A50021"/>
              </a:solidFill>
              <a:prstDash val="solid"/>
            </a:ln>
          </c:spPr>
          <c:marker>
            <c:symbol val="circle"/>
            <c:size val="5"/>
            <c:spPr>
              <a:solidFill>
                <a:srgbClr val="A50021"/>
              </a:solidFill>
              <a:ln w="9525">
                <a:noFill/>
              </a:ln>
            </c:spPr>
          </c:marker>
          <c:dLbls>
            <c:dLbl>
              <c:idx val="0"/>
              <c:layout>
                <c:manualLayout>
                  <c:x val="-5.8458508010663622E-3"/>
                  <c:y val="-4.1770249781965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FE-461D-AF38-4654F21EA842}"/>
                </c:ext>
              </c:extLst>
            </c:dLbl>
            <c:numFmt formatCode="0.0\ &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⑫防露計算!$AD$180:$AD$196</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⑫防露計算!$AE$180:$AE$196</c:f>
              <c:numCache>
                <c:formatCode>#,##0.00_ ;[Red]\-#,##0.00\ </c:formatCode>
                <c:ptCount val="17"/>
                <c:pt idx="0">
                  <c:v>15</c:v>
                </c:pt>
                <c:pt idx="1">
                  <c:v>15</c:v>
                </c:pt>
                <c:pt idx="2">
                  <c:v>9.3000000000000007</c:v>
                </c:pt>
                <c:pt idx="3">
                  <c:v>9.3000000000000007</c:v>
                </c:pt>
                <c:pt idx="4">
                  <c:v>9.3000000000000007</c:v>
                </c:pt>
                <c:pt idx="5">
                  <c:v>9.3000000000000007</c:v>
                </c:pt>
                <c:pt idx="6">
                  <c:v>9.3000000000000007</c:v>
                </c:pt>
                <c:pt idx="7">
                  <c:v>9.3000000000000007</c:v>
                </c:pt>
                <c:pt idx="8">
                  <c:v>9.3000000000000007</c:v>
                </c:pt>
                <c:pt idx="9">
                  <c:v>9.3000000000000007</c:v>
                </c:pt>
                <c:pt idx="10">
                  <c:v>9.3000000000000007</c:v>
                </c:pt>
                <c:pt idx="11">
                  <c:v>9.3000000000000007</c:v>
                </c:pt>
                <c:pt idx="12">
                  <c:v>9.3000000000000007</c:v>
                </c:pt>
                <c:pt idx="13">
                  <c:v>9.3000000000000007</c:v>
                </c:pt>
                <c:pt idx="14">
                  <c:v>9.3000000000000007</c:v>
                </c:pt>
                <c:pt idx="15">
                  <c:v>3.6</c:v>
                </c:pt>
                <c:pt idx="16">
                  <c:v>3.6</c:v>
                </c:pt>
              </c:numCache>
            </c:numRef>
          </c:yVal>
          <c:smooth val="0"/>
          <c:extLst>
            <c:ext xmlns:c16="http://schemas.microsoft.com/office/drawing/2014/chart" uri="{C3380CC4-5D6E-409C-BE32-E72D297353CC}">
              <c16:uniqueId val="{00000001-C0FE-461D-AF38-4654F21EA842}"/>
            </c:ext>
          </c:extLst>
        </c:ser>
        <c:ser>
          <c:idx val="1"/>
          <c:order val="1"/>
          <c:tx>
            <c:strRef>
              <c:f>⑫防露計算!$AF$3</c:f>
              <c:strCache>
                <c:ptCount val="1"/>
                <c:pt idx="0">
                  <c:v>露点温度</c:v>
                </c:pt>
              </c:strCache>
            </c:strRef>
          </c:tx>
          <c:spPr>
            <a:ln w="25400">
              <a:solidFill>
                <a:srgbClr val="543D95"/>
              </a:solidFill>
              <a:prstDash val="solid"/>
            </a:ln>
          </c:spPr>
          <c:marker>
            <c:symbol val="circle"/>
            <c:size val="5"/>
            <c:spPr>
              <a:solidFill>
                <a:srgbClr val="543D95"/>
              </a:solidFill>
              <a:ln w="9525">
                <a:noFill/>
              </a:ln>
            </c:spPr>
          </c:marker>
          <c:dLbls>
            <c:dLbl>
              <c:idx val="0"/>
              <c:layout>
                <c:manualLayout>
                  <c:x val="-5.8458508010663822E-3"/>
                  <c:y val="-4.1452170955767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FE-461D-AF38-4654F21EA842}"/>
                </c:ext>
              </c:extLst>
            </c:dLbl>
            <c:numFmt formatCode="0.0\ &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⑫防露計算!$AD$180:$AD$196</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⑫防露計算!$AF$180:$AF$196</c:f>
              <c:numCache>
                <c:formatCode>#,##0.00_ ;[Red]\-#,##0.00\ </c:formatCode>
                <c:ptCount val="17"/>
                <c:pt idx="0">
                  <c:v>7.3061185391618908</c:v>
                </c:pt>
                <c:pt idx="1">
                  <c:v>7.3061185391618908</c:v>
                </c:pt>
                <c:pt idx="2">
                  <c:v>7.1525963981427259</c:v>
                </c:pt>
                <c:pt idx="3">
                  <c:v>7.1525963981427259</c:v>
                </c:pt>
                <c:pt idx="4">
                  <c:v>7.1525963981427259</c:v>
                </c:pt>
                <c:pt idx="5">
                  <c:v>7.1525963981427259</c:v>
                </c:pt>
                <c:pt idx="6">
                  <c:v>7.1525963981427259</c:v>
                </c:pt>
                <c:pt idx="7">
                  <c:v>7.1525963981427259</c:v>
                </c:pt>
                <c:pt idx="8">
                  <c:v>7.1525963981427259</c:v>
                </c:pt>
                <c:pt idx="9">
                  <c:v>7.1525963981427259</c:v>
                </c:pt>
                <c:pt idx="10">
                  <c:v>7.1525963981427259</c:v>
                </c:pt>
                <c:pt idx="11">
                  <c:v>7.1525963981427259</c:v>
                </c:pt>
                <c:pt idx="12">
                  <c:v>7.1525963981427259</c:v>
                </c:pt>
                <c:pt idx="13">
                  <c:v>7.1525963981427259</c:v>
                </c:pt>
                <c:pt idx="14">
                  <c:v>7.1525963981427259</c:v>
                </c:pt>
                <c:pt idx="15">
                  <c:v>-1.3468270695015434</c:v>
                </c:pt>
                <c:pt idx="16">
                  <c:v>-1.3468270695015434</c:v>
                </c:pt>
              </c:numCache>
            </c:numRef>
          </c:yVal>
          <c:smooth val="0"/>
          <c:extLst>
            <c:ext xmlns:c16="http://schemas.microsoft.com/office/drawing/2014/chart" uri="{C3380CC4-5D6E-409C-BE32-E72D297353CC}">
              <c16:uniqueId val="{00000003-C0FE-461D-AF38-4654F21EA842}"/>
            </c:ext>
          </c:extLst>
        </c:ser>
        <c:dLbls>
          <c:showLegendKey val="0"/>
          <c:showVal val="0"/>
          <c:showCatName val="0"/>
          <c:showSerName val="0"/>
          <c:showPercent val="0"/>
          <c:showBubbleSize val="0"/>
        </c:dLbls>
        <c:axId val="544045584"/>
        <c:axId val="544046368"/>
      </c:scatterChart>
      <c:valAx>
        <c:axId val="544045584"/>
        <c:scaling>
          <c:orientation val="minMax"/>
        </c:scaling>
        <c:delete val="1"/>
        <c:axPos val="b"/>
        <c:numFmt formatCode="#,##0.00_ ;[Red]\-#,##0.00\ " sourceLinked="1"/>
        <c:majorTickMark val="out"/>
        <c:minorTickMark val="none"/>
        <c:tickLblPos val="none"/>
        <c:crossAx val="544046368"/>
        <c:crosses val="autoZero"/>
        <c:crossBetween val="midCat"/>
      </c:valAx>
      <c:valAx>
        <c:axId val="544046368"/>
        <c:scaling>
          <c:orientation val="minMax"/>
        </c:scaling>
        <c:delete val="0"/>
        <c:axPos val="l"/>
        <c:majorGridlines>
          <c:spPr>
            <a:ln w="3175">
              <a:solidFill>
                <a:srgbClr val="000000"/>
              </a:solidFill>
              <a:prstDash val="solid"/>
            </a:ln>
          </c:spPr>
        </c:majorGridlines>
        <c:numFmt formatCode="0\ &quot;℃&quot;" sourceLinked="0"/>
        <c:majorTickMark val="in"/>
        <c:minorTickMark val="none"/>
        <c:tickLblPos val="nextTo"/>
        <c:spPr>
          <a:ln w="3175">
            <a:solidFill>
              <a:srgbClr val="000000"/>
            </a:solidFill>
            <a:prstDash val="solid"/>
          </a:ln>
        </c:spPr>
        <c:txPr>
          <a:bodyPr rot="0" vert="horz"/>
          <a:lstStyle/>
          <a:p>
            <a:pPr>
              <a:defRPr/>
            </a:pPr>
            <a:endParaRPr lang="ja-JP"/>
          </a:p>
        </c:txPr>
        <c:crossAx val="544045584"/>
        <c:crosses val="autoZero"/>
        <c:crossBetween val="midCat"/>
      </c:valAx>
      <c:spPr>
        <a:noFill/>
        <a:ln w="25400">
          <a:noFill/>
        </a:ln>
      </c:spPr>
    </c:plotArea>
    <c:legend>
      <c:legendPos val="r"/>
      <c:layout>
        <c:manualLayout>
          <c:xMode val="edge"/>
          <c:yMode val="edge"/>
          <c:x val="0.6313626657435103"/>
          <c:y val="0.93333333333333335"/>
          <c:w val="0.36666666666666703"/>
          <c:h val="6.6666666666666763E-2"/>
        </c:manualLayout>
      </c:layout>
      <c:overlay val="0"/>
      <c:spPr>
        <a:solidFill>
          <a:srgbClr val="FFFFFF"/>
        </a:solid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BIZ UDPゴシック" panose="020B0400000000000000" pitchFamily="50" charset="-128"/>
          <a:ea typeface="BIZ UDPゴシック" panose="020B0400000000000000" pitchFamily="50" charset="-128"/>
          <a:cs typeface="ＭＳ Ｐゴシック"/>
        </a:defRPr>
      </a:pPr>
      <a:endParaRPr lang="ja-JP"/>
    </a:p>
  </c:txPr>
  <c:printSettings>
    <c:headerFooter alignWithMargins="0"/>
    <c:pageMargins b="1" l="0.75000000000000167" r="0.75000000000000167" t="1" header="0.51200000000000001" footer="0.51200000000000001"/>
    <c:pageSetup paperSize="9" orientation="landscape" horizontalDpi="1200" verticalDpi="12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50098231827599E-2"/>
          <c:y val="4.6980314960629925E-2"/>
          <c:w val="0.91159135559921411"/>
          <c:h val="0.87558967629046369"/>
        </c:manualLayout>
      </c:layout>
      <c:scatterChart>
        <c:scatterStyle val="lineMarker"/>
        <c:varyColors val="0"/>
        <c:ser>
          <c:idx val="0"/>
          <c:order val="0"/>
          <c:tx>
            <c:strRef>
              <c:f>⑫防露計算!$AE$3</c:f>
              <c:strCache>
                <c:ptCount val="1"/>
                <c:pt idx="0">
                  <c:v>境界面温度</c:v>
                </c:pt>
              </c:strCache>
            </c:strRef>
          </c:tx>
          <c:spPr>
            <a:ln w="25400">
              <a:solidFill>
                <a:srgbClr val="A50021"/>
              </a:solidFill>
              <a:prstDash val="solid"/>
            </a:ln>
          </c:spPr>
          <c:marker>
            <c:symbol val="circle"/>
            <c:size val="5"/>
            <c:spPr>
              <a:solidFill>
                <a:srgbClr val="A50021"/>
              </a:solidFill>
              <a:ln w="9525">
                <a:noFill/>
              </a:ln>
            </c:spPr>
          </c:marker>
          <c:dLbls>
            <c:dLbl>
              <c:idx val="0"/>
              <c:layout>
                <c:manualLayout>
                  <c:x val="-5.8458508010663622E-3"/>
                  <c:y val="-4.1770249781965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17-4AB6-8F73-1093B5C8FD31}"/>
                </c:ext>
              </c:extLst>
            </c:dLbl>
            <c:numFmt formatCode="0.0\ &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⑫防露計算!$AD$224:$AD$240</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⑫防露計算!$AE$224:$AE$240</c:f>
              <c:numCache>
                <c:formatCode>#,##0.00_ ;[Red]\-#,##0.00\ </c:formatCode>
                <c:ptCount val="17"/>
                <c:pt idx="0">
                  <c:v>15</c:v>
                </c:pt>
                <c:pt idx="1">
                  <c:v>15</c:v>
                </c:pt>
                <c:pt idx="2">
                  <c:v>9.3000000000000007</c:v>
                </c:pt>
                <c:pt idx="3">
                  <c:v>9.3000000000000007</c:v>
                </c:pt>
                <c:pt idx="4">
                  <c:v>9.3000000000000007</c:v>
                </c:pt>
                <c:pt idx="5">
                  <c:v>9.3000000000000007</c:v>
                </c:pt>
                <c:pt idx="6">
                  <c:v>9.3000000000000007</c:v>
                </c:pt>
                <c:pt idx="7">
                  <c:v>9.3000000000000007</c:v>
                </c:pt>
                <c:pt idx="8">
                  <c:v>9.3000000000000007</c:v>
                </c:pt>
                <c:pt idx="9">
                  <c:v>9.3000000000000007</c:v>
                </c:pt>
                <c:pt idx="10">
                  <c:v>9.3000000000000007</c:v>
                </c:pt>
                <c:pt idx="11">
                  <c:v>9.3000000000000007</c:v>
                </c:pt>
                <c:pt idx="12">
                  <c:v>9.3000000000000007</c:v>
                </c:pt>
                <c:pt idx="13">
                  <c:v>9.3000000000000007</c:v>
                </c:pt>
                <c:pt idx="14">
                  <c:v>9.3000000000000007</c:v>
                </c:pt>
                <c:pt idx="15">
                  <c:v>3.6</c:v>
                </c:pt>
                <c:pt idx="16">
                  <c:v>3.6</c:v>
                </c:pt>
              </c:numCache>
            </c:numRef>
          </c:yVal>
          <c:smooth val="0"/>
          <c:extLst>
            <c:ext xmlns:c16="http://schemas.microsoft.com/office/drawing/2014/chart" uri="{C3380CC4-5D6E-409C-BE32-E72D297353CC}">
              <c16:uniqueId val="{00000001-8717-4AB6-8F73-1093B5C8FD31}"/>
            </c:ext>
          </c:extLst>
        </c:ser>
        <c:ser>
          <c:idx val="1"/>
          <c:order val="1"/>
          <c:tx>
            <c:strRef>
              <c:f>⑫防露計算!$AF$3</c:f>
              <c:strCache>
                <c:ptCount val="1"/>
                <c:pt idx="0">
                  <c:v>露点温度</c:v>
                </c:pt>
              </c:strCache>
            </c:strRef>
          </c:tx>
          <c:spPr>
            <a:ln w="25400">
              <a:solidFill>
                <a:srgbClr val="543D95"/>
              </a:solidFill>
              <a:prstDash val="solid"/>
            </a:ln>
          </c:spPr>
          <c:marker>
            <c:symbol val="circle"/>
            <c:size val="5"/>
            <c:spPr>
              <a:solidFill>
                <a:srgbClr val="543D95"/>
              </a:solidFill>
              <a:ln w="9525">
                <a:noFill/>
              </a:ln>
            </c:spPr>
          </c:marker>
          <c:dLbls>
            <c:dLbl>
              <c:idx val="0"/>
              <c:layout>
                <c:manualLayout>
                  <c:x val="-5.8458508010663822E-3"/>
                  <c:y val="-4.1452170955767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17-4AB6-8F73-1093B5C8FD31}"/>
                </c:ext>
              </c:extLst>
            </c:dLbl>
            <c:numFmt formatCode="0.0\ &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⑫防露計算!$AD$224:$AD$240</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⑫防露計算!$AF$224:$AF$240</c:f>
              <c:numCache>
                <c:formatCode>#,##0.00_ ;[Red]\-#,##0.00\ </c:formatCode>
                <c:ptCount val="17"/>
                <c:pt idx="0">
                  <c:v>7.3061185391618908</c:v>
                </c:pt>
                <c:pt idx="1">
                  <c:v>7.3061185391618908</c:v>
                </c:pt>
                <c:pt idx="2">
                  <c:v>7.1525963981427259</c:v>
                </c:pt>
                <c:pt idx="3">
                  <c:v>7.1525963981427259</c:v>
                </c:pt>
                <c:pt idx="4">
                  <c:v>7.1525963981427259</c:v>
                </c:pt>
                <c:pt idx="5">
                  <c:v>7.1525963981427259</c:v>
                </c:pt>
                <c:pt idx="6">
                  <c:v>7.1525963981427259</c:v>
                </c:pt>
                <c:pt idx="7">
                  <c:v>7.1525963981427259</c:v>
                </c:pt>
                <c:pt idx="8">
                  <c:v>7.1525963981427259</c:v>
                </c:pt>
                <c:pt idx="9">
                  <c:v>7.1525963981427259</c:v>
                </c:pt>
                <c:pt idx="10">
                  <c:v>7.1525963981427259</c:v>
                </c:pt>
                <c:pt idx="11">
                  <c:v>7.1525963981427259</c:v>
                </c:pt>
                <c:pt idx="12">
                  <c:v>7.1525963981427259</c:v>
                </c:pt>
                <c:pt idx="13">
                  <c:v>7.1525963981427259</c:v>
                </c:pt>
                <c:pt idx="14">
                  <c:v>7.1525963981427259</c:v>
                </c:pt>
                <c:pt idx="15">
                  <c:v>-1.3468270695015434</c:v>
                </c:pt>
                <c:pt idx="16">
                  <c:v>-1.3468270695015434</c:v>
                </c:pt>
              </c:numCache>
            </c:numRef>
          </c:yVal>
          <c:smooth val="0"/>
          <c:extLst>
            <c:ext xmlns:c16="http://schemas.microsoft.com/office/drawing/2014/chart" uri="{C3380CC4-5D6E-409C-BE32-E72D297353CC}">
              <c16:uniqueId val="{00000003-8717-4AB6-8F73-1093B5C8FD31}"/>
            </c:ext>
          </c:extLst>
        </c:ser>
        <c:dLbls>
          <c:showLegendKey val="0"/>
          <c:showVal val="0"/>
          <c:showCatName val="0"/>
          <c:showSerName val="0"/>
          <c:showPercent val="0"/>
          <c:showBubbleSize val="0"/>
        </c:dLbls>
        <c:axId val="544045584"/>
        <c:axId val="544046368"/>
      </c:scatterChart>
      <c:valAx>
        <c:axId val="544045584"/>
        <c:scaling>
          <c:orientation val="minMax"/>
        </c:scaling>
        <c:delete val="1"/>
        <c:axPos val="b"/>
        <c:numFmt formatCode="#,##0.00_ ;[Red]\-#,##0.00\ " sourceLinked="1"/>
        <c:majorTickMark val="out"/>
        <c:minorTickMark val="none"/>
        <c:tickLblPos val="none"/>
        <c:crossAx val="544046368"/>
        <c:crosses val="autoZero"/>
        <c:crossBetween val="midCat"/>
      </c:valAx>
      <c:valAx>
        <c:axId val="544046368"/>
        <c:scaling>
          <c:orientation val="minMax"/>
        </c:scaling>
        <c:delete val="0"/>
        <c:axPos val="l"/>
        <c:majorGridlines>
          <c:spPr>
            <a:ln w="3175">
              <a:solidFill>
                <a:srgbClr val="000000"/>
              </a:solidFill>
              <a:prstDash val="solid"/>
            </a:ln>
          </c:spPr>
        </c:majorGridlines>
        <c:numFmt formatCode="0\ &quot;℃&quot;" sourceLinked="0"/>
        <c:majorTickMark val="in"/>
        <c:minorTickMark val="none"/>
        <c:tickLblPos val="nextTo"/>
        <c:spPr>
          <a:ln w="3175">
            <a:solidFill>
              <a:srgbClr val="000000"/>
            </a:solidFill>
            <a:prstDash val="solid"/>
          </a:ln>
        </c:spPr>
        <c:txPr>
          <a:bodyPr rot="0" vert="horz"/>
          <a:lstStyle/>
          <a:p>
            <a:pPr>
              <a:defRPr/>
            </a:pPr>
            <a:endParaRPr lang="ja-JP"/>
          </a:p>
        </c:txPr>
        <c:crossAx val="544045584"/>
        <c:crosses val="autoZero"/>
        <c:crossBetween val="midCat"/>
      </c:valAx>
      <c:spPr>
        <a:noFill/>
        <a:ln w="25400">
          <a:noFill/>
        </a:ln>
      </c:spPr>
    </c:plotArea>
    <c:legend>
      <c:legendPos val="r"/>
      <c:layout>
        <c:manualLayout>
          <c:xMode val="edge"/>
          <c:yMode val="edge"/>
          <c:x val="0.6313626657435103"/>
          <c:y val="0.93333333333333335"/>
          <c:w val="0.36666666666666703"/>
          <c:h val="6.6666666666666763E-2"/>
        </c:manualLayout>
      </c:layout>
      <c:overlay val="0"/>
      <c:spPr>
        <a:solidFill>
          <a:srgbClr val="FFFFFF"/>
        </a:solid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BIZ UDPゴシック" panose="020B0400000000000000" pitchFamily="50" charset="-128"/>
          <a:ea typeface="BIZ UDPゴシック" panose="020B0400000000000000" pitchFamily="50" charset="-128"/>
          <a:cs typeface="ＭＳ Ｐゴシック"/>
        </a:defRPr>
      </a:pPr>
      <a:endParaRPr lang="ja-JP"/>
    </a:p>
  </c:txPr>
  <c:printSettings>
    <c:headerFooter alignWithMargins="0"/>
    <c:pageMargins b="1" l="0.75000000000000167" r="0.75000000000000167" t="1" header="0.51200000000000001" footer="0.51200000000000001"/>
    <c:pageSetup paperSize="9" orientation="landscape" horizontalDpi="1200"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50098231827599E-2"/>
          <c:y val="4.6980314960629925E-2"/>
          <c:w val="0.91159135559921411"/>
          <c:h val="0.87558967629046369"/>
        </c:manualLayout>
      </c:layout>
      <c:scatterChart>
        <c:scatterStyle val="lineMarker"/>
        <c:varyColors val="0"/>
        <c:ser>
          <c:idx val="0"/>
          <c:order val="0"/>
          <c:tx>
            <c:strRef>
              <c:f>⑫防露計算!$AE$3</c:f>
              <c:strCache>
                <c:ptCount val="1"/>
                <c:pt idx="0">
                  <c:v>境界面温度</c:v>
                </c:pt>
              </c:strCache>
            </c:strRef>
          </c:tx>
          <c:spPr>
            <a:ln w="25400">
              <a:solidFill>
                <a:srgbClr val="A50021"/>
              </a:solidFill>
              <a:prstDash val="solid"/>
            </a:ln>
          </c:spPr>
          <c:marker>
            <c:symbol val="circle"/>
            <c:size val="5"/>
            <c:spPr>
              <a:solidFill>
                <a:srgbClr val="A50021"/>
              </a:solidFill>
              <a:ln w="9525">
                <a:noFill/>
              </a:ln>
            </c:spPr>
          </c:marker>
          <c:dLbls>
            <c:dLbl>
              <c:idx val="0"/>
              <c:layout>
                <c:manualLayout>
                  <c:x val="-5.8458508010663622E-3"/>
                  <c:y val="-4.1770249781965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4F-48D5-8845-A8A57CF5412B}"/>
                </c:ext>
              </c:extLst>
            </c:dLbl>
            <c:numFmt formatCode="0.0\ &quot;℃&quot;" sourceLinked="0"/>
            <c:spPr>
              <a:noFill/>
              <a:ln w="25400">
                <a:noFill/>
              </a:ln>
            </c:spPr>
            <c:txPr>
              <a:bodyPr/>
              <a:lstStyle/>
              <a:p>
                <a:pPr>
                  <a:defRPr sz="800" b="0" i="0" u="none" strike="noStrike" baseline="0">
                    <a:solidFill>
                      <a:srgbClr val="333333"/>
                    </a:solidFill>
                    <a:latin typeface="HG丸ｺﾞｼｯｸM-PRO"/>
                    <a:ea typeface="HG丸ｺﾞｼｯｸM-PRO"/>
                    <a:cs typeface="HG丸ｺﾞｼｯｸM-PRO"/>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⑫防露計算!$AD$4:$AD$20</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⑫防露計算!$AE$4:$AE$20</c:f>
              <c:numCache>
                <c:formatCode>#,##0.00_ ;[Red]\-#,##0.00\ </c:formatCode>
                <c:ptCount val="17"/>
                <c:pt idx="0">
                  <c:v>15</c:v>
                </c:pt>
                <c:pt idx="1">
                  <c:v>15</c:v>
                </c:pt>
                <c:pt idx="2">
                  <c:v>9.3000000000000007</c:v>
                </c:pt>
                <c:pt idx="3">
                  <c:v>9.3000000000000007</c:v>
                </c:pt>
                <c:pt idx="4">
                  <c:v>9.3000000000000007</c:v>
                </c:pt>
                <c:pt idx="5">
                  <c:v>9.3000000000000007</c:v>
                </c:pt>
                <c:pt idx="6">
                  <c:v>9.3000000000000007</c:v>
                </c:pt>
                <c:pt idx="7">
                  <c:v>9.3000000000000007</c:v>
                </c:pt>
                <c:pt idx="8">
                  <c:v>9.3000000000000007</c:v>
                </c:pt>
                <c:pt idx="9">
                  <c:v>9.3000000000000007</c:v>
                </c:pt>
                <c:pt idx="10">
                  <c:v>9.3000000000000007</c:v>
                </c:pt>
                <c:pt idx="11">
                  <c:v>9.3000000000000007</c:v>
                </c:pt>
                <c:pt idx="12">
                  <c:v>9.3000000000000007</c:v>
                </c:pt>
                <c:pt idx="13">
                  <c:v>9.3000000000000007</c:v>
                </c:pt>
                <c:pt idx="14">
                  <c:v>9.3000000000000007</c:v>
                </c:pt>
                <c:pt idx="15">
                  <c:v>3.6</c:v>
                </c:pt>
                <c:pt idx="16">
                  <c:v>3.6</c:v>
                </c:pt>
              </c:numCache>
            </c:numRef>
          </c:yVal>
          <c:smooth val="0"/>
          <c:extLst>
            <c:ext xmlns:c16="http://schemas.microsoft.com/office/drawing/2014/chart" uri="{C3380CC4-5D6E-409C-BE32-E72D297353CC}">
              <c16:uniqueId val="{00000001-954F-48D5-8845-A8A57CF5412B}"/>
            </c:ext>
          </c:extLst>
        </c:ser>
        <c:ser>
          <c:idx val="1"/>
          <c:order val="1"/>
          <c:tx>
            <c:strRef>
              <c:f>⑫防露計算!$AF$3</c:f>
              <c:strCache>
                <c:ptCount val="1"/>
                <c:pt idx="0">
                  <c:v>露点温度</c:v>
                </c:pt>
              </c:strCache>
            </c:strRef>
          </c:tx>
          <c:spPr>
            <a:ln w="25400">
              <a:solidFill>
                <a:srgbClr val="543D95"/>
              </a:solidFill>
              <a:prstDash val="solid"/>
            </a:ln>
          </c:spPr>
          <c:marker>
            <c:symbol val="circle"/>
            <c:size val="5"/>
            <c:spPr>
              <a:solidFill>
                <a:srgbClr val="543D95"/>
              </a:solidFill>
              <a:ln w="9525">
                <a:noFill/>
              </a:ln>
            </c:spPr>
          </c:marker>
          <c:dLbls>
            <c:dLbl>
              <c:idx val="0"/>
              <c:layout>
                <c:manualLayout>
                  <c:x val="-5.8458508010663822E-3"/>
                  <c:y val="-4.1452170955767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54F-48D5-8845-A8A57CF5412B}"/>
                </c:ext>
              </c:extLst>
            </c:dLbl>
            <c:numFmt formatCode="0.0\ &quot;℃&quot;" sourceLinked="0"/>
            <c:spPr>
              <a:noFill/>
              <a:ln w="25400">
                <a:noFill/>
              </a:ln>
            </c:spPr>
            <c:txPr>
              <a:bodyPr/>
              <a:lstStyle/>
              <a:p>
                <a:pPr>
                  <a:defRPr sz="800" b="0" i="0" u="none" strike="noStrike" baseline="0">
                    <a:solidFill>
                      <a:srgbClr val="333333"/>
                    </a:solidFill>
                    <a:latin typeface="HG丸ｺﾞｼｯｸM-PRO"/>
                    <a:ea typeface="HG丸ｺﾞｼｯｸM-PRO"/>
                    <a:cs typeface="HG丸ｺﾞｼｯｸM-PRO"/>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⑫防露計算!$AD$4:$AD$20</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⑫防露計算!$AF$4:$AF$20</c:f>
              <c:numCache>
                <c:formatCode>#,##0.00_ ;[Red]\-#,##0.00\ </c:formatCode>
                <c:ptCount val="17"/>
                <c:pt idx="0">
                  <c:v>7.3061185391618908</c:v>
                </c:pt>
                <c:pt idx="1">
                  <c:v>7.3061185391618908</c:v>
                </c:pt>
                <c:pt idx="2">
                  <c:v>7.1525963981427259</c:v>
                </c:pt>
                <c:pt idx="3">
                  <c:v>7.1525963981427259</c:v>
                </c:pt>
                <c:pt idx="4">
                  <c:v>7.1525963981427259</c:v>
                </c:pt>
                <c:pt idx="5">
                  <c:v>7.1525963981427259</c:v>
                </c:pt>
                <c:pt idx="6">
                  <c:v>7.1525963981427259</c:v>
                </c:pt>
                <c:pt idx="7">
                  <c:v>7.1525963981427259</c:v>
                </c:pt>
                <c:pt idx="8">
                  <c:v>7.1525963981427259</c:v>
                </c:pt>
                <c:pt idx="9">
                  <c:v>7.1525963981427259</c:v>
                </c:pt>
                <c:pt idx="10">
                  <c:v>7.1525963981427259</c:v>
                </c:pt>
                <c:pt idx="11">
                  <c:v>7.1525963981427259</c:v>
                </c:pt>
                <c:pt idx="12">
                  <c:v>7.1525963981427259</c:v>
                </c:pt>
                <c:pt idx="13">
                  <c:v>7.1525963981427259</c:v>
                </c:pt>
                <c:pt idx="14">
                  <c:v>7.1525963981427259</c:v>
                </c:pt>
                <c:pt idx="15">
                  <c:v>-1.3468270695015434</c:v>
                </c:pt>
                <c:pt idx="16">
                  <c:v>-1.3468270695015434</c:v>
                </c:pt>
              </c:numCache>
            </c:numRef>
          </c:yVal>
          <c:smooth val="0"/>
          <c:extLst>
            <c:ext xmlns:c16="http://schemas.microsoft.com/office/drawing/2014/chart" uri="{C3380CC4-5D6E-409C-BE32-E72D297353CC}">
              <c16:uniqueId val="{00000003-954F-48D5-8845-A8A57CF5412B}"/>
            </c:ext>
          </c:extLst>
        </c:ser>
        <c:dLbls>
          <c:showLegendKey val="0"/>
          <c:showVal val="0"/>
          <c:showCatName val="0"/>
          <c:showSerName val="0"/>
          <c:showPercent val="0"/>
          <c:showBubbleSize val="0"/>
        </c:dLbls>
        <c:axId val="544045584"/>
        <c:axId val="544046368"/>
      </c:scatterChart>
      <c:valAx>
        <c:axId val="544045584"/>
        <c:scaling>
          <c:orientation val="minMax"/>
        </c:scaling>
        <c:delete val="1"/>
        <c:axPos val="b"/>
        <c:numFmt formatCode="#,##0.00_ ;[Red]\-#,##0.00\ " sourceLinked="1"/>
        <c:majorTickMark val="out"/>
        <c:minorTickMark val="none"/>
        <c:tickLblPos val="none"/>
        <c:crossAx val="544046368"/>
        <c:crosses val="autoZero"/>
        <c:crossBetween val="midCat"/>
      </c:valAx>
      <c:valAx>
        <c:axId val="544046368"/>
        <c:scaling>
          <c:orientation val="minMax"/>
        </c:scaling>
        <c:delete val="0"/>
        <c:axPos val="l"/>
        <c:majorGridlines>
          <c:spPr>
            <a:ln w="3175">
              <a:solidFill>
                <a:srgbClr val="000000"/>
              </a:solidFill>
              <a:prstDash val="solid"/>
            </a:ln>
          </c:spPr>
        </c:majorGridlines>
        <c:numFmt formatCode="0\ &quot;℃&quot;"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G丸ｺﾞｼｯｸM-PRO"/>
                <a:ea typeface="HG丸ｺﾞｼｯｸM-PRO"/>
                <a:cs typeface="HG丸ｺﾞｼｯｸM-PRO"/>
              </a:defRPr>
            </a:pPr>
            <a:endParaRPr lang="ja-JP"/>
          </a:p>
        </c:txPr>
        <c:crossAx val="544045584"/>
        <c:crosses val="autoZero"/>
        <c:crossBetween val="midCat"/>
      </c:valAx>
      <c:spPr>
        <a:noFill/>
        <a:ln w="25400">
          <a:noFill/>
        </a:ln>
      </c:spPr>
    </c:plotArea>
    <c:legend>
      <c:legendPos val="r"/>
      <c:layout>
        <c:manualLayout>
          <c:xMode val="edge"/>
          <c:yMode val="edge"/>
          <c:x val="0.6313626657435103"/>
          <c:y val="0.93333333333333335"/>
          <c:w val="0.36666666666666703"/>
          <c:h val="6.6666666666666763E-2"/>
        </c:manualLayout>
      </c:layout>
      <c:overlay val="0"/>
      <c:spPr>
        <a:solidFill>
          <a:srgbClr val="FFFFFF"/>
        </a:solidFill>
        <a:ln w="25400">
          <a:noFill/>
        </a:ln>
      </c:spPr>
      <c:txPr>
        <a:bodyPr/>
        <a:lstStyle/>
        <a:p>
          <a:pPr>
            <a:defRPr sz="675" b="0" i="0" u="none" strike="noStrike" baseline="0">
              <a:solidFill>
                <a:srgbClr val="000000"/>
              </a:solidFill>
              <a:latin typeface="HG丸ｺﾞｼｯｸM-PRO"/>
              <a:ea typeface="HG丸ｺﾞｼｯｸM-PRO"/>
              <a:cs typeface="HG丸ｺﾞｼｯｸM-PRO"/>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67" r="0.75000000000000167"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600792547990322E-2"/>
          <c:y val="4.8611111111111112E-2"/>
          <c:w val="0.91354063095054294"/>
          <c:h val="0.87361504811898716"/>
        </c:manualLayout>
      </c:layout>
      <c:barChart>
        <c:barDir val="bar"/>
        <c:grouping val="stacked"/>
        <c:varyColors val="0"/>
        <c:ser>
          <c:idx val="0"/>
          <c:order val="0"/>
          <c:spPr>
            <a:noFill/>
            <a:ln w="25400">
              <a:noFill/>
            </a:ln>
          </c:spPr>
          <c:invertIfNegative val="0"/>
          <c:val>
            <c:numRef>
              <c:f>⑫防露計算!$AC$50</c:f>
              <c:numCache>
                <c:formatCode>General</c:formatCode>
                <c:ptCount val="1"/>
                <c:pt idx="0">
                  <c:v>50</c:v>
                </c:pt>
              </c:numCache>
            </c:numRef>
          </c:val>
          <c:extLst>
            <c:ext xmlns:c16="http://schemas.microsoft.com/office/drawing/2014/chart" uri="{C3380CC4-5D6E-409C-BE32-E72D297353CC}">
              <c16:uniqueId val="{00000000-9E13-4415-917B-F8BF79F5A220}"/>
            </c:ext>
          </c:extLst>
        </c:ser>
        <c:ser>
          <c:idx val="1"/>
          <c:order val="1"/>
          <c:spPr>
            <a:solidFill>
              <a:srgbClr val="FF9900"/>
            </a:solidFill>
            <a:ln w="3175">
              <a:solidFill>
                <a:srgbClr val="000000"/>
              </a:solidFill>
              <a:prstDash val="solid"/>
            </a:ln>
          </c:spPr>
          <c:invertIfNegative val="0"/>
          <c:val>
            <c:numRef>
              <c:f>⑫防露計算!$AC$51</c:f>
              <c:numCache>
                <c:formatCode>0.0_ ;[Red]\-0.0\ </c:formatCode>
                <c:ptCount val="1"/>
                <c:pt idx="0">
                  <c:v>0</c:v>
                </c:pt>
              </c:numCache>
            </c:numRef>
          </c:val>
          <c:extLst>
            <c:ext xmlns:c16="http://schemas.microsoft.com/office/drawing/2014/chart" uri="{C3380CC4-5D6E-409C-BE32-E72D297353CC}">
              <c16:uniqueId val="{00000001-9E13-4415-917B-F8BF79F5A220}"/>
            </c:ext>
          </c:extLst>
        </c:ser>
        <c:ser>
          <c:idx val="2"/>
          <c:order val="2"/>
          <c:spPr>
            <a:solidFill>
              <a:srgbClr val="FEC698"/>
            </a:solidFill>
            <a:ln w="3175">
              <a:solidFill>
                <a:srgbClr val="000000"/>
              </a:solidFill>
              <a:prstDash val="solid"/>
            </a:ln>
          </c:spPr>
          <c:invertIfNegative val="0"/>
          <c:val>
            <c:numRef>
              <c:f>⑫防露計算!$AC$52</c:f>
              <c:numCache>
                <c:formatCode>0.0_ ;[Red]\-0.0\ </c:formatCode>
                <c:ptCount val="1"/>
                <c:pt idx="0">
                  <c:v>0</c:v>
                </c:pt>
              </c:numCache>
            </c:numRef>
          </c:val>
          <c:extLst>
            <c:ext xmlns:c16="http://schemas.microsoft.com/office/drawing/2014/chart" uri="{C3380CC4-5D6E-409C-BE32-E72D297353CC}">
              <c16:uniqueId val="{00000002-9E13-4415-917B-F8BF79F5A220}"/>
            </c:ext>
          </c:extLst>
        </c:ser>
        <c:ser>
          <c:idx val="3"/>
          <c:order val="3"/>
          <c:spPr>
            <a:solidFill>
              <a:srgbClr val="FFDDDD"/>
            </a:solidFill>
            <a:ln w="3175">
              <a:solidFill>
                <a:srgbClr val="000000"/>
              </a:solidFill>
              <a:prstDash val="solid"/>
            </a:ln>
          </c:spPr>
          <c:invertIfNegative val="0"/>
          <c:val>
            <c:numRef>
              <c:f>⑫防露計算!$AC$53</c:f>
              <c:numCache>
                <c:formatCode>0.0_ ;[Red]\-0.0\ </c:formatCode>
                <c:ptCount val="1"/>
                <c:pt idx="0">
                  <c:v>0</c:v>
                </c:pt>
              </c:numCache>
            </c:numRef>
          </c:val>
          <c:extLst>
            <c:ext xmlns:c16="http://schemas.microsoft.com/office/drawing/2014/chart" uri="{C3380CC4-5D6E-409C-BE32-E72D297353CC}">
              <c16:uniqueId val="{00000003-9E13-4415-917B-F8BF79F5A220}"/>
            </c:ext>
          </c:extLst>
        </c:ser>
        <c:ser>
          <c:idx val="4"/>
          <c:order val="4"/>
          <c:spPr>
            <a:solidFill>
              <a:srgbClr val="F3E0D1"/>
            </a:solidFill>
            <a:ln w="3175">
              <a:solidFill>
                <a:srgbClr val="000000"/>
              </a:solidFill>
              <a:prstDash val="solid"/>
            </a:ln>
          </c:spPr>
          <c:invertIfNegative val="0"/>
          <c:val>
            <c:numRef>
              <c:f>⑫防露計算!$AC$54</c:f>
              <c:numCache>
                <c:formatCode>0.0_ ;[Red]\-0.0\ </c:formatCode>
                <c:ptCount val="1"/>
                <c:pt idx="0">
                  <c:v>0</c:v>
                </c:pt>
              </c:numCache>
            </c:numRef>
          </c:val>
          <c:extLst>
            <c:ext xmlns:c16="http://schemas.microsoft.com/office/drawing/2014/chart" uri="{C3380CC4-5D6E-409C-BE32-E72D297353CC}">
              <c16:uniqueId val="{00000004-9E13-4415-917B-F8BF79F5A220}"/>
            </c:ext>
          </c:extLst>
        </c:ser>
        <c:ser>
          <c:idx val="5"/>
          <c:order val="5"/>
          <c:spPr>
            <a:solidFill>
              <a:srgbClr val="FFF4D9"/>
            </a:solidFill>
            <a:ln w="3175">
              <a:solidFill>
                <a:srgbClr val="000000"/>
              </a:solidFill>
              <a:prstDash val="solid"/>
            </a:ln>
          </c:spPr>
          <c:invertIfNegative val="0"/>
          <c:val>
            <c:numRef>
              <c:f>⑫防露計算!$AC$55</c:f>
              <c:numCache>
                <c:formatCode>0.0_ ;[Red]\-0.0\ </c:formatCode>
                <c:ptCount val="1"/>
                <c:pt idx="0">
                  <c:v>0</c:v>
                </c:pt>
              </c:numCache>
            </c:numRef>
          </c:val>
          <c:extLst>
            <c:ext xmlns:c16="http://schemas.microsoft.com/office/drawing/2014/chart" uri="{C3380CC4-5D6E-409C-BE32-E72D297353CC}">
              <c16:uniqueId val="{00000005-9E13-4415-917B-F8BF79F5A220}"/>
            </c:ext>
          </c:extLst>
        </c:ser>
        <c:ser>
          <c:idx val="6"/>
          <c:order val="6"/>
          <c:spPr>
            <a:solidFill>
              <a:srgbClr val="FFF9EF"/>
            </a:solidFill>
            <a:ln w="3175">
              <a:solidFill>
                <a:srgbClr val="000000"/>
              </a:solidFill>
              <a:prstDash val="solid"/>
            </a:ln>
          </c:spPr>
          <c:invertIfNegative val="0"/>
          <c:val>
            <c:numRef>
              <c:f>⑫防露計算!$AC$56</c:f>
              <c:numCache>
                <c:formatCode>0.0_ ;[Red]\-0.0\ </c:formatCode>
                <c:ptCount val="1"/>
                <c:pt idx="0">
                  <c:v>0</c:v>
                </c:pt>
              </c:numCache>
            </c:numRef>
          </c:val>
          <c:extLst>
            <c:ext xmlns:c16="http://schemas.microsoft.com/office/drawing/2014/chart" uri="{C3380CC4-5D6E-409C-BE32-E72D297353CC}">
              <c16:uniqueId val="{00000006-9E13-4415-917B-F8BF79F5A220}"/>
            </c:ext>
          </c:extLst>
        </c:ser>
        <c:ser>
          <c:idx val="7"/>
          <c:order val="7"/>
          <c:spPr>
            <a:solidFill>
              <a:srgbClr val="F3F1ED"/>
            </a:solidFill>
            <a:ln w="3175">
              <a:solidFill>
                <a:srgbClr val="000000"/>
              </a:solidFill>
              <a:prstDash val="solid"/>
            </a:ln>
          </c:spPr>
          <c:invertIfNegative val="0"/>
          <c:val>
            <c:numRef>
              <c:f>⑫防露計算!$AC$57</c:f>
              <c:numCache>
                <c:formatCode>0.0_ ;[Red]\-0.0\ </c:formatCode>
                <c:ptCount val="1"/>
                <c:pt idx="0">
                  <c:v>0</c:v>
                </c:pt>
              </c:numCache>
            </c:numRef>
          </c:val>
          <c:extLst>
            <c:ext xmlns:c16="http://schemas.microsoft.com/office/drawing/2014/chart" uri="{C3380CC4-5D6E-409C-BE32-E72D297353CC}">
              <c16:uniqueId val="{00000007-9E13-4415-917B-F8BF79F5A220}"/>
            </c:ext>
          </c:extLst>
        </c:ser>
        <c:ser>
          <c:idx val="8"/>
          <c:order val="8"/>
          <c:spPr>
            <a:solidFill>
              <a:srgbClr val="EAEAEA"/>
            </a:solidFill>
            <a:ln w="3175">
              <a:solidFill>
                <a:srgbClr val="000000"/>
              </a:solidFill>
              <a:prstDash val="solid"/>
            </a:ln>
          </c:spPr>
          <c:invertIfNegative val="0"/>
          <c:val>
            <c:numRef>
              <c:f>⑫防露計算!$AC$58</c:f>
              <c:numCache>
                <c:formatCode>0.0_ ;[Red]\-0.0\ </c:formatCode>
                <c:ptCount val="1"/>
                <c:pt idx="0">
                  <c:v>0</c:v>
                </c:pt>
              </c:numCache>
            </c:numRef>
          </c:val>
          <c:extLst>
            <c:ext xmlns:c16="http://schemas.microsoft.com/office/drawing/2014/chart" uri="{C3380CC4-5D6E-409C-BE32-E72D297353CC}">
              <c16:uniqueId val="{00000008-9E13-4415-917B-F8BF79F5A220}"/>
            </c:ext>
          </c:extLst>
        </c:ser>
        <c:ser>
          <c:idx val="9"/>
          <c:order val="9"/>
          <c:spPr>
            <a:solidFill>
              <a:srgbClr val="DDDDDD"/>
            </a:solidFill>
            <a:ln w="3175">
              <a:solidFill>
                <a:srgbClr val="000000"/>
              </a:solidFill>
              <a:prstDash val="solid"/>
            </a:ln>
          </c:spPr>
          <c:invertIfNegative val="0"/>
          <c:val>
            <c:numRef>
              <c:f>⑫防露計算!$AC$59</c:f>
              <c:numCache>
                <c:formatCode>0.0_ ;[Red]\-0.0\ </c:formatCode>
                <c:ptCount val="1"/>
                <c:pt idx="0">
                  <c:v>0</c:v>
                </c:pt>
              </c:numCache>
            </c:numRef>
          </c:val>
          <c:extLst>
            <c:ext xmlns:c16="http://schemas.microsoft.com/office/drawing/2014/chart" uri="{C3380CC4-5D6E-409C-BE32-E72D297353CC}">
              <c16:uniqueId val="{00000009-9E13-4415-917B-F8BF79F5A220}"/>
            </c:ext>
          </c:extLst>
        </c:ser>
        <c:ser>
          <c:idx val="10"/>
          <c:order val="10"/>
          <c:spPr>
            <a:solidFill>
              <a:srgbClr val="C0C0C0"/>
            </a:solidFill>
            <a:ln w="3175">
              <a:solidFill>
                <a:srgbClr val="000000"/>
              </a:solidFill>
              <a:prstDash val="solid"/>
            </a:ln>
          </c:spPr>
          <c:invertIfNegative val="0"/>
          <c:val>
            <c:numRef>
              <c:f>⑫防露計算!$AC$60</c:f>
              <c:numCache>
                <c:formatCode>0.0_ ;[Red]\-0.0\ </c:formatCode>
                <c:ptCount val="1"/>
                <c:pt idx="0">
                  <c:v>0</c:v>
                </c:pt>
              </c:numCache>
            </c:numRef>
          </c:val>
          <c:extLst>
            <c:ext xmlns:c16="http://schemas.microsoft.com/office/drawing/2014/chart" uri="{C3380CC4-5D6E-409C-BE32-E72D297353CC}">
              <c16:uniqueId val="{0000000A-9E13-4415-917B-F8BF79F5A220}"/>
            </c:ext>
          </c:extLst>
        </c:ser>
        <c:ser>
          <c:idx val="11"/>
          <c:order val="11"/>
          <c:spPr>
            <a:solidFill>
              <a:srgbClr val="B2B2B2"/>
            </a:solidFill>
            <a:ln w="3175">
              <a:solidFill>
                <a:srgbClr val="000000"/>
              </a:solidFill>
              <a:prstDash val="solid"/>
            </a:ln>
          </c:spPr>
          <c:invertIfNegative val="0"/>
          <c:val>
            <c:numRef>
              <c:f>⑫防露計算!$AC$61</c:f>
              <c:numCache>
                <c:formatCode>0.0_ ;[Red]\-0.0\ </c:formatCode>
                <c:ptCount val="1"/>
                <c:pt idx="0">
                  <c:v>0</c:v>
                </c:pt>
              </c:numCache>
            </c:numRef>
          </c:val>
          <c:extLst>
            <c:ext xmlns:c16="http://schemas.microsoft.com/office/drawing/2014/chart" uri="{C3380CC4-5D6E-409C-BE32-E72D297353CC}">
              <c16:uniqueId val="{0000000B-9E13-4415-917B-F8BF79F5A220}"/>
            </c:ext>
          </c:extLst>
        </c:ser>
        <c:ser>
          <c:idx val="12"/>
          <c:order val="12"/>
          <c:spPr>
            <a:solidFill>
              <a:srgbClr val="808080"/>
            </a:solidFill>
            <a:ln w="12700">
              <a:solidFill>
                <a:srgbClr val="000000"/>
              </a:solidFill>
              <a:prstDash val="solid"/>
            </a:ln>
          </c:spPr>
          <c:invertIfNegative val="0"/>
          <c:dPt>
            <c:idx val="0"/>
            <c:invertIfNegative val="0"/>
            <c:bubble3D val="0"/>
            <c:spPr>
              <a:solidFill>
                <a:srgbClr val="808080"/>
              </a:solidFill>
              <a:ln w="3175">
                <a:solidFill>
                  <a:srgbClr val="000000"/>
                </a:solidFill>
                <a:prstDash val="solid"/>
              </a:ln>
            </c:spPr>
            <c:extLst>
              <c:ext xmlns:c16="http://schemas.microsoft.com/office/drawing/2014/chart" uri="{C3380CC4-5D6E-409C-BE32-E72D297353CC}">
                <c16:uniqueId val="{0000000D-9E13-4415-917B-F8BF79F5A220}"/>
              </c:ext>
            </c:extLst>
          </c:dPt>
          <c:val>
            <c:numRef>
              <c:f>⑫防露計算!$AC$62</c:f>
              <c:numCache>
                <c:formatCode>0.0_ ;[Red]\-0.0\ </c:formatCode>
                <c:ptCount val="1"/>
                <c:pt idx="0">
                  <c:v>0</c:v>
                </c:pt>
              </c:numCache>
            </c:numRef>
          </c:val>
          <c:extLst>
            <c:ext xmlns:c16="http://schemas.microsoft.com/office/drawing/2014/chart" uri="{C3380CC4-5D6E-409C-BE32-E72D297353CC}">
              <c16:uniqueId val="{0000000E-9E13-4415-917B-F8BF79F5A220}"/>
            </c:ext>
          </c:extLst>
        </c:ser>
        <c:ser>
          <c:idx val="13"/>
          <c:order val="13"/>
          <c:spPr>
            <a:noFill/>
            <a:ln w="25400">
              <a:noFill/>
            </a:ln>
          </c:spPr>
          <c:invertIfNegative val="0"/>
          <c:dPt>
            <c:idx val="0"/>
            <c:invertIfNegative val="0"/>
            <c:bubble3D val="0"/>
            <c:spPr>
              <a:noFill/>
              <a:ln w="25400">
                <a:solidFill>
                  <a:schemeClr val="bg1">
                    <a:lumMod val="50000"/>
                  </a:schemeClr>
                </a:solidFill>
                <a:prstDash val="sysDash"/>
              </a:ln>
            </c:spPr>
            <c:extLst>
              <c:ext xmlns:c16="http://schemas.microsoft.com/office/drawing/2014/chart" uri="{C3380CC4-5D6E-409C-BE32-E72D297353CC}">
                <c16:uniqueId val="{00000010-9E13-4415-917B-F8BF79F5A220}"/>
              </c:ext>
            </c:extLst>
          </c:dPt>
          <c:val>
            <c:numRef>
              <c:f>⑫防露計算!$AC$63</c:f>
              <c:numCache>
                <c:formatCode>0.0_ ;[Red]\-0.0\ </c:formatCode>
                <c:ptCount val="1"/>
                <c:pt idx="0">
                  <c:v>18</c:v>
                </c:pt>
              </c:numCache>
            </c:numRef>
          </c:val>
          <c:extLst>
            <c:ext xmlns:c16="http://schemas.microsoft.com/office/drawing/2014/chart" uri="{C3380CC4-5D6E-409C-BE32-E72D297353CC}">
              <c16:uniqueId val="{00000011-9E13-4415-917B-F8BF79F5A220}"/>
            </c:ext>
          </c:extLst>
        </c:ser>
        <c:ser>
          <c:idx val="14"/>
          <c:order val="14"/>
          <c:spPr>
            <a:noFill/>
            <a:ln w="25400">
              <a:noFill/>
            </a:ln>
          </c:spPr>
          <c:invertIfNegative val="0"/>
          <c:val>
            <c:numRef>
              <c:f>⑫防露計算!$AC$64</c:f>
              <c:numCache>
                <c:formatCode>General</c:formatCode>
                <c:ptCount val="1"/>
                <c:pt idx="0">
                  <c:v>50</c:v>
                </c:pt>
              </c:numCache>
            </c:numRef>
          </c:val>
          <c:extLst>
            <c:ext xmlns:c16="http://schemas.microsoft.com/office/drawing/2014/chart" uri="{C3380CC4-5D6E-409C-BE32-E72D297353CC}">
              <c16:uniqueId val="{00000012-9E13-4415-917B-F8BF79F5A220}"/>
            </c:ext>
          </c:extLst>
        </c:ser>
        <c:dLbls>
          <c:showLegendKey val="0"/>
          <c:showVal val="0"/>
          <c:showCatName val="0"/>
          <c:showSerName val="0"/>
          <c:showPercent val="0"/>
          <c:showBubbleSize val="0"/>
        </c:dLbls>
        <c:gapWidth val="0"/>
        <c:overlap val="100"/>
        <c:axId val="544725896"/>
        <c:axId val="544045976"/>
      </c:barChart>
      <c:catAx>
        <c:axId val="544725896"/>
        <c:scaling>
          <c:orientation val="minMax"/>
        </c:scaling>
        <c:delete val="1"/>
        <c:axPos val="l"/>
        <c:majorTickMark val="out"/>
        <c:minorTickMark val="none"/>
        <c:tickLblPos val="none"/>
        <c:crossAx val="544045976"/>
        <c:crosses val="autoZero"/>
        <c:auto val="1"/>
        <c:lblAlgn val="ctr"/>
        <c:lblOffset val="100"/>
        <c:noMultiLvlLbl val="0"/>
      </c:catAx>
      <c:valAx>
        <c:axId val="544045976"/>
        <c:scaling>
          <c:orientation val="minMax"/>
        </c:scaling>
        <c:delete val="1"/>
        <c:axPos val="b"/>
        <c:majorGridlines>
          <c:spPr>
            <a:ln w="3175">
              <a:solidFill>
                <a:srgbClr val="FFFFFF"/>
              </a:solidFill>
              <a:prstDash val="solid"/>
            </a:ln>
          </c:spPr>
        </c:majorGridlines>
        <c:numFmt formatCode="General" sourceLinked="1"/>
        <c:majorTickMark val="out"/>
        <c:minorTickMark val="none"/>
        <c:tickLblPos val="none"/>
        <c:crossAx val="544725896"/>
        <c:crosses val="autoZero"/>
        <c:crossBetween val="between"/>
      </c:valAx>
      <c:spPr>
        <a:solidFill>
          <a:srgbClr val="F3F1ED"/>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67" r="0.75000000000000167" t="1" header="0.51200000000000001" footer="0.51200000000000001"/>
    <c:pageSetup paperSize="9"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600792547990322E-2"/>
          <c:y val="4.8611111111111112E-2"/>
          <c:w val="0.91354063095054294"/>
          <c:h val="0.87361504811898716"/>
        </c:manualLayout>
      </c:layout>
      <c:barChart>
        <c:barDir val="bar"/>
        <c:grouping val="stacked"/>
        <c:varyColors val="0"/>
        <c:ser>
          <c:idx val="0"/>
          <c:order val="0"/>
          <c:spPr>
            <a:noFill/>
            <a:ln w="25400">
              <a:noFill/>
            </a:ln>
          </c:spPr>
          <c:invertIfNegative val="0"/>
          <c:val>
            <c:numRef>
              <c:f>⑫防露計算!$AC$94</c:f>
              <c:numCache>
                <c:formatCode>General</c:formatCode>
                <c:ptCount val="1"/>
                <c:pt idx="0">
                  <c:v>50</c:v>
                </c:pt>
              </c:numCache>
            </c:numRef>
          </c:val>
          <c:extLst>
            <c:ext xmlns:c16="http://schemas.microsoft.com/office/drawing/2014/chart" uri="{C3380CC4-5D6E-409C-BE32-E72D297353CC}">
              <c16:uniqueId val="{00000000-A554-4628-919B-837FCA486D08}"/>
            </c:ext>
          </c:extLst>
        </c:ser>
        <c:ser>
          <c:idx val="1"/>
          <c:order val="1"/>
          <c:spPr>
            <a:solidFill>
              <a:srgbClr val="FF9900"/>
            </a:solidFill>
            <a:ln w="3175">
              <a:solidFill>
                <a:srgbClr val="000000"/>
              </a:solidFill>
              <a:prstDash val="solid"/>
            </a:ln>
          </c:spPr>
          <c:invertIfNegative val="0"/>
          <c:val>
            <c:numRef>
              <c:f>⑫防露計算!$AC$95</c:f>
              <c:numCache>
                <c:formatCode>0.0_ ;[Red]\-0.0\ </c:formatCode>
                <c:ptCount val="1"/>
                <c:pt idx="0">
                  <c:v>0</c:v>
                </c:pt>
              </c:numCache>
            </c:numRef>
          </c:val>
          <c:extLst>
            <c:ext xmlns:c16="http://schemas.microsoft.com/office/drawing/2014/chart" uri="{C3380CC4-5D6E-409C-BE32-E72D297353CC}">
              <c16:uniqueId val="{00000001-A554-4628-919B-837FCA486D08}"/>
            </c:ext>
          </c:extLst>
        </c:ser>
        <c:ser>
          <c:idx val="2"/>
          <c:order val="2"/>
          <c:spPr>
            <a:solidFill>
              <a:srgbClr val="FEC698"/>
            </a:solidFill>
            <a:ln w="3175">
              <a:solidFill>
                <a:srgbClr val="000000"/>
              </a:solidFill>
              <a:prstDash val="solid"/>
            </a:ln>
          </c:spPr>
          <c:invertIfNegative val="0"/>
          <c:val>
            <c:numRef>
              <c:f>⑫防露計算!$AC$96</c:f>
              <c:numCache>
                <c:formatCode>0.0_ ;[Red]\-0.0\ </c:formatCode>
                <c:ptCount val="1"/>
                <c:pt idx="0">
                  <c:v>0</c:v>
                </c:pt>
              </c:numCache>
            </c:numRef>
          </c:val>
          <c:extLst>
            <c:ext xmlns:c16="http://schemas.microsoft.com/office/drawing/2014/chart" uri="{C3380CC4-5D6E-409C-BE32-E72D297353CC}">
              <c16:uniqueId val="{00000002-A554-4628-919B-837FCA486D08}"/>
            </c:ext>
          </c:extLst>
        </c:ser>
        <c:ser>
          <c:idx val="3"/>
          <c:order val="3"/>
          <c:spPr>
            <a:solidFill>
              <a:srgbClr val="FFDDDD"/>
            </a:solidFill>
            <a:ln w="3175">
              <a:solidFill>
                <a:srgbClr val="000000"/>
              </a:solidFill>
              <a:prstDash val="solid"/>
            </a:ln>
          </c:spPr>
          <c:invertIfNegative val="0"/>
          <c:val>
            <c:numRef>
              <c:f>⑫防露計算!$AC$97</c:f>
              <c:numCache>
                <c:formatCode>0.0_ ;[Red]\-0.0\ </c:formatCode>
                <c:ptCount val="1"/>
                <c:pt idx="0">
                  <c:v>0</c:v>
                </c:pt>
              </c:numCache>
            </c:numRef>
          </c:val>
          <c:extLst>
            <c:ext xmlns:c16="http://schemas.microsoft.com/office/drawing/2014/chart" uri="{C3380CC4-5D6E-409C-BE32-E72D297353CC}">
              <c16:uniqueId val="{00000003-A554-4628-919B-837FCA486D08}"/>
            </c:ext>
          </c:extLst>
        </c:ser>
        <c:ser>
          <c:idx val="4"/>
          <c:order val="4"/>
          <c:spPr>
            <a:solidFill>
              <a:srgbClr val="F3E0D1"/>
            </a:solidFill>
            <a:ln w="3175">
              <a:solidFill>
                <a:srgbClr val="000000"/>
              </a:solidFill>
              <a:prstDash val="solid"/>
            </a:ln>
          </c:spPr>
          <c:invertIfNegative val="0"/>
          <c:val>
            <c:numRef>
              <c:f>⑫防露計算!$AC$98</c:f>
              <c:numCache>
                <c:formatCode>0.0_ ;[Red]\-0.0\ </c:formatCode>
                <c:ptCount val="1"/>
                <c:pt idx="0">
                  <c:v>0</c:v>
                </c:pt>
              </c:numCache>
            </c:numRef>
          </c:val>
          <c:extLst>
            <c:ext xmlns:c16="http://schemas.microsoft.com/office/drawing/2014/chart" uri="{C3380CC4-5D6E-409C-BE32-E72D297353CC}">
              <c16:uniqueId val="{00000004-A554-4628-919B-837FCA486D08}"/>
            </c:ext>
          </c:extLst>
        </c:ser>
        <c:ser>
          <c:idx val="5"/>
          <c:order val="5"/>
          <c:spPr>
            <a:solidFill>
              <a:srgbClr val="FFF4D9"/>
            </a:solidFill>
            <a:ln w="3175">
              <a:solidFill>
                <a:srgbClr val="000000"/>
              </a:solidFill>
              <a:prstDash val="solid"/>
            </a:ln>
          </c:spPr>
          <c:invertIfNegative val="0"/>
          <c:val>
            <c:numRef>
              <c:f>⑫防露計算!$AC$99</c:f>
              <c:numCache>
                <c:formatCode>0.0_ ;[Red]\-0.0\ </c:formatCode>
                <c:ptCount val="1"/>
                <c:pt idx="0">
                  <c:v>0</c:v>
                </c:pt>
              </c:numCache>
            </c:numRef>
          </c:val>
          <c:extLst>
            <c:ext xmlns:c16="http://schemas.microsoft.com/office/drawing/2014/chart" uri="{C3380CC4-5D6E-409C-BE32-E72D297353CC}">
              <c16:uniqueId val="{00000005-A554-4628-919B-837FCA486D08}"/>
            </c:ext>
          </c:extLst>
        </c:ser>
        <c:ser>
          <c:idx val="6"/>
          <c:order val="6"/>
          <c:spPr>
            <a:solidFill>
              <a:srgbClr val="FFF9EF"/>
            </a:solidFill>
            <a:ln w="3175">
              <a:solidFill>
                <a:srgbClr val="000000"/>
              </a:solidFill>
              <a:prstDash val="solid"/>
            </a:ln>
          </c:spPr>
          <c:invertIfNegative val="0"/>
          <c:val>
            <c:numRef>
              <c:f>⑫防露計算!$AC$100</c:f>
              <c:numCache>
                <c:formatCode>0.0_ ;[Red]\-0.0\ </c:formatCode>
                <c:ptCount val="1"/>
                <c:pt idx="0">
                  <c:v>0</c:v>
                </c:pt>
              </c:numCache>
            </c:numRef>
          </c:val>
          <c:extLst>
            <c:ext xmlns:c16="http://schemas.microsoft.com/office/drawing/2014/chart" uri="{C3380CC4-5D6E-409C-BE32-E72D297353CC}">
              <c16:uniqueId val="{00000006-A554-4628-919B-837FCA486D08}"/>
            </c:ext>
          </c:extLst>
        </c:ser>
        <c:ser>
          <c:idx val="7"/>
          <c:order val="7"/>
          <c:spPr>
            <a:solidFill>
              <a:srgbClr val="F3F1ED"/>
            </a:solidFill>
            <a:ln w="3175">
              <a:solidFill>
                <a:srgbClr val="000000"/>
              </a:solidFill>
              <a:prstDash val="solid"/>
            </a:ln>
          </c:spPr>
          <c:invertIfNegative val="0"/>
          <c:val>
            <c:numRef>
              <c:f>⑫防露計算!$AC$101</c:f>
              <c:numCache>
                <c:formatCode>0.0_ ;[Red]\-0.0\ </c:formatCode>
                <c:ptCount val="1"/>
                <c:pt idx="0">
                  <c:v>0</c:v>
                </c:pt>
              </c:numCache>
            </c:numRef>
          </c:val>
          <c:extLst>
            <c:ext xmlns:c16="http://schemas.microsoft.com/office/drawing/2014/chart" uri="{C3380CC4-5D6E-409C-BE32-E72D297353CC}">
              <c16:uniqueId val="{00000007-A554-4628-919B-837FCA486D08}"/>
            </c:ext>
          </c:extLst>
        </c:ser>
        <c:ser>
          <c:idx val="8"/>
          <c:order val="8"/>
          <c:spPr>
            <a:solidFill>
              <a:srgbClr val="EAEAEA"/>
            </a:solidFill>
            <a:ln w="3175">
              <a:solidFill>
                <a:srgbClr val="000000"/>
              </a:solidFill>
              <a:prstDash val="solid"/>
            </a:ln>
          </c:spPr>
          <c:invertIfNegative val="0"/>
          <c:val>
            <c:numRef>
              <c:f>⑫防露計算!$AC$102</c:f>
              <c:numCache>
                <c:formatCode>0.0_ ;[Red]\-0.0\ </c:formatCode>
                <c:ptCount val="1"/>
                <c:pt idx="0">
                  <c:v>0</c:v>
                </c:pt>
              </c:numCache>
            </c:numRef>
          </c:val>
          <c:extLst>
            <c:ext xmlns:c16="http://schemas.microsoft.com/office/drawing/2014/chart" uri="{C3380CC4-5D6E-409C-BE32-E72D297353CC}">
              <c16:uniqueId val="{00000008-A554-4628-919B-837FCA486D08}"/>
            </c:ext>
          </c:extLst>
        </c:ser>
        <c:ser>
          <c:idx val="9"/>
          <c:order val="9"/>
          <c:spPr>
            <a:solidFill>
              <a:srgbClr val="DDDDDD"/>
            </a:solidFill>
            <a:ln w="3175">
              <a:solidFill>
                <a:srgbClr val="000000"/>
              </a:solidFill>
              <a:prstDash val="solid"/>
            </a:ln>
          </c:spPr>
          <c:invertIfNegative val="0"/>
          <c:val>
            <c:numRef>
              <c:f>⑫防露計算!$AC$103</c:f>
              <c:numCache>
                <c:formatCode>0.0_ ;[Red]\-0.0\ </c:formatCode>
                <c:ptCount val="1"/>
                <c:pt idx="0">
                  <c:v>0</c:v>
                </c:pt>
              </c:numCache>
            </c:numRef>
          </c:val>
          <c:extLst>
            <c:ext xmlns:c16="http://schemas.microsoft.com/office/drawing/2014/chart" uri="{C3380CC4-5D6E-409C-BE32-E72D297353CC}">
              <c16:uniqueId val="{00000009-A554-4628-919B-837FCA486D08}"/>
            </c:ext>
          </c:extLst>
        </c:ser>
        <c:ser>
          <c:idx val="10"/>
          <c:order val="10"/>
          <c:spPr>
            <a:solidFill>
              <a:srgbClr val="C0C0C0"/>
            </a:solidFill>
            <a:ln w="3175">
              <a:solidFill>
                <a:srgbClr val="000000"/>
              </a:solidFill>
              <a:prstDash val="solid"/>
            </a:ln>
          </c:spPr>
          <c:invertIfNegative val="0"/>
          <c:val>
            <c:numRef>
              <c:f>⑫防露計算!$AC$104</c:f>
              <c:numCache>
                <c:formatCode>0.0_ ;[Red]\-0.0\ </c:formatCode>
                <c:ptCount val="1"/>
                <c:pt idx="0">
                  <c:v>0</c:v>
                </c:pt>
              </c:numCache>
            </c:numRef>
          </c:val>
          <c:extLst>
            <c:ext xmlns:c16="http://schemas.microsoft.com/office/drawing/2014/chart" uri="{C3380CC4-5D6E-409C-BE32-E72D297353CC}">
              <c16:uniqueId val="{0000000A-A554-4628-919B-837FCA486D08}"/>
            </c:ext>
          </c:extLst>
        </c:ser>
        <c:ser>
          <c:idx val="11"/>
          <c:order val="11"/>
          <c:spPr>
            <a:solidFill>
              <a:srgbClr val="B2B2B2"/>
            </a:solidFill>
            <a:ln w="3175">
              <a:solidFill>
                <a:srgbClr val="000000"/>
              </a:solidFill>
              <a:prstDash val="solid"/>
            </a:ln>
          </c:spPr>
          <c:invertIfNegative val="0"/>
          <c:val>
            <c:numRef>
              <c:f>⑫防露計算!$AC$105</c:f>
              <c:numCache>
                <c:formatCode>0.0_ ;[Red]\-0.0\ </c:formatCode>
                <c:ptCount val="1"/>
                <c:pt idx="0">
                  <c:v>0</c:v>
                </c:pt>
              </c:numCache>
            </c:numRef>
          </c:val>
          <c:extLst>
            <c:ext xmlns:c16="http://schemas.microsoft.com/office/drawing/2014/chart" uri="{C3380CC4-5D6E-409C-BE32-E72D297353CC}">
              <c16:uniqueId val="{0000000B-A554-4628-919B-837FCA486D08}"/>
            </c:ext>
          </c:extLst>
        </c:ser>
        <c:ser>
          <c:idx val="12"/>
          <c:order val="12"/>
          <c:spPr>
            <a:solidFill>
              <a:srgbClr val="808080"/>
            </a:solidFill>
            <a:ln w="12700">
              <a:solidFill>
                <a:srgbClr val="000000"/>
              </a:solidFill>
              <a:prstDash val="solid"/>
            </a:ln>
          </c:spPr>
          <c:invertIfNegative val="0"/>
          <c:dPt>
            <c:idx val="0"/>
            <c:invertIfNegative val="0"/>
            <c:bubble3D val="0"/>
            <c:spPr>
              <a:solidFill>
                <a:srgbClr val="808080"/>
              </a:solidFill>
              <a:ln w="3175">
                <a:solidFill>
                  <a:srgbClr val="000000"/>
                </a:solidFill>
                <a:prstDash val="solid"/>
              </a:ln>
            </c:spPr>
            <c:extLst>
              <c:ext xmlns:c16="http://schemas.microsoft.com/office/drawing/2014/chart" uri="{C3380CC4-5D6E-409C-BE32-E72D297353CC}">
                <c16:uniqueId val="{0000000D-A554-4628-919B-837FCA486D08}"/>
              </c:ext>
            </c:extLst>
          </c:dPt>
          <c:val>
            <c:numRef>
              <c:f>⑫防露計算!$AC$106</c:f>
              <c:numCache>
                <c:formatCode>0.0_ ;[Red]\-0.0\ </c:formatCode>
                <c:ptCount val="1"/>
                <c:pt idx="0">
                  <c:v>0</c:v>
                </c:pt>
              </c:numCache>
            </c:numRef>
          </c:val>
          <c:extLst>
            <c:ext xmlns:c16="http://schemas.microsoft.com/office/drawing/2014/chart" uri="{C3380CC4-5D6E-409C-BE32-E72D297353CC}">
              <c16:uniqueId val="{0000000E-A554-4628-919B-837FCA486D08}"/>
            </c:ext>
          </c:extLst>
        </c:ser>
        <c:ser>
          <c:idx val="13"/>
          <c:order val="13"/>
          <c:spPr>
            <a:noFill/>
            <a:ln w="25400">
              <a:noFill/>
            </a:ln>
          </c:spPr>
          <c:invertIfNegative val="0"/>
          <c:dPt>
            <c:idx val="0"/>
            <c:invertIfNegative val="0"/>
            <c:bubble3D val="0"/>
            <c:spPr>
              <a:noFill/>
              <a:ln w="25400">
                <a:solidFill>
                  <a:schemeClr val="bg1">
                    <a:lumMod val="50000"/>
                  </a:schemeClr>
                </a:solidFill>
                <a:prstDash val="sysDash"/>
              </a:ln>
            </c:spPr>
            <c:extLst>
              <c:ext xmlns:c16="http://schemas.microsoft.com/office/drawing/2014/chart" uri="{C3380CC4-5D6E-409C-BE32-E72D297353CC}">
                <c16:uniqueId val="{00000010-A554-4628-919B-837FCA486D08}"/>
              </c:ext>
            </c:extLst>
          </c:dPt>
          <c:val>
            <c:numRef>
              <c:f>⑫防露計算!$AC$107</c:f>
              <c:numCache>
                <c:formatCode>0.0_ ;[Red]\-0.0\ </c:formatCode>
                <c:ptCount val="1"/>
                <c:pt idx="0">
                  <c:v>18</c:v>
                </c:pt>
              </c:numCache>
            </c:numRef>
          </c:val>
          <c:extLst>
            <c:ext xmlns:c16="http://schemas.microsoft.com/office/drawing/2014/chart" uri="{C3380CC4-5D6E-409C-BE32-E72D297353CC}">
              <c16:uniqueId val="{00000011-A554-4628-919B-837FCA486D08}"/>
            </c:ext>
          </c:extLst>
        </c:ser>
        <c:ser>
          <c:idx val="14"/>
          <c:order val="14"/>
          <c:spPr>
            <a:noFill/>
            <a:ln w="25400">
              <a:noFill/>
            </a:ln>
          </c:spPr>
          <c:invertIfNegative val="0"/>
          <c:val>
            <c:numRef>
              <c:f>⑫防露計算!$AC$108</c:f>
              <c:numCache>
                <c:formatCode>General</c:formatCode>
                <c:ptCount val="1"/>
                <c:pt idx="0">
                  <c:v>50</c:v>
                </c:pt>
              </c:numCache>
            </c:numRef>
          </c:val>
          <c:extLst>
            <c:ext xmlns:c16="http://schemas.microsoft.com/office/drawing/2014/chart" uri="{C3380CC4-5D6E-409C-BE32-E72D297353CC}">
              <c16:uniqueId val="{00000012-A554-4628-919B-837FCA486D08}"/>
            </c:ext>
          </c:extLst>
        </c:ser>
        <c:dLbls>
          <c:showLegendKey val="0"/>
          <c:showVal val="0"/>
          <c:showCatName val="0"/>
          <c:showSerName val="0"/>
          <c:showPercent val="0"/>
          <c:showBubbleSize val="0"/>
        </c:dLbls>
        <c:gapWidth val="0"/>
        <c:overlap val="100"/>
        <c:axId val="544725896"/>
        <c:axId val="544045976"/>
      </c:barChart>
      <c:catAx>
        <c:axId val="544725896"/>
        <c:scaling>
          <c:orientation val="minMax"/>
        </c:scaling>
        <c:delete val="1"/>
        <c:axPos val="l"/>
        <c:majorTickMark val="out"/>
        <c:minorTickMark val="none"/>
        <c:tickLblPos val="none"/>
        <c:crossAx val="544045976"/>
        <c:crosses val="autoZero"/>
        <c:auto val="1"/>
        <c:lblAlgn val="ctr"/>
        <c:lblOffset val="100"/>
        <c:noMultiLvlLbl val="0"/>
      </c:catAx>
      <c:valAx>
        <c:axId val="544045976"/>
        <c:scaling>
          <c:orientation val="minMax"/>
        </c:scaling>
        <c:delete val="1"/>
        <c:axPos val="b"/>
        <c:majorGridlines>
          <c:spPr>
            <a:ln w="3175">
              <a:solidFill>
                <a:srgbClr val="FFFFFF"/>
              </a:solidFill>
              <a:prstDash val="solid"/>
            </a:ln>
          </c:spPr>
        </c:majorGridlines>
        <c:numFmt formatCode="General" sourceLinked="1"/>
        <c:majorTickMark val="out"/>
        <c:minorTickMark val="none"/>
        <c:tickLblPos val="none"/>
        <c:crossAx val="544725896"/>
        <c:crosses val="autoZero"/>
        <c:crossBetween val="between"/>
      </c:valAx>
      <c:spPr>
        <a:solidFill>
          <a:srgbClr val="F3F1ED"/>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67" r="0.75000000000000167"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600792547990322E-2"/>
          <c:y val="4.8611111111111112E-2"/>
          <c:w val="0.91354063095054294"/>
          <c:h val="0.87361504811898716"/>
        </c:manualLayout>
      </c:layout>
      <c:barChart>
        <c:barDir val="bar"/>
        <c:grouping val="stacked"/>
        <c:varyColors val="0"/>
        <c:ser>
          <c:idx val="0"/>
          <c:order val="0"/>
          <c:spPr>
            <a:noFill/>
            <a:ln w="25400">
              <a:noFill/>
            </a:ln>
          </c:spPr>
          <c:invertIfNegative val="0"/>
          <c:val>
            <c:numRef>
              <c:f>⑫防露計算!$AC$138</c:f>
              <c:numCache>
                <c:formatCode>General</c:formatCode>
                <c:ptCount val="1"/>
                <c:pt idx="0">
                  <c:v>50</c:v>
                </c:pt>
              </c:numCache>
            </c:numRef>
          </c:val>
          <c:extLst>
            <c:ext xmlns:c16="http://schemas.microsoft.com/office/drawing/2014/chart" uri="{C3380CC4-5D6E-409C-BE32-E72D297353CC}">
              <c16:uniqueId val="{00000000-3F65-4943-BC40-C160C71EA17E}"/>
            </c:ext>
          </c:extLst>
        </c:ser>
        <c:ser>
          <c:idx val="1"/>
          <c:order val="1"/>
          <c:spPr>
            <a:solidFill>
              <a:srgbClr val="FF9900"/>
            </a:solidFill>
            <a:ln w="3175">
              <a:solidFill>
                <a:srgbClr val="000000"/>
              </a:solidFill>
              <a:prstDash val="solid"/>
            </a:ln>
          </c:spPr>
          <c:invertIfNegative val="0"/>
          <c:val>
            <c:numRef>
              <c:f>⑫防露計算!$AC$139</c:f>
              <c:numCache>
                <c:formatCode>0.0_ ;[Red]\-0.0\ </c:formatCode>
                <c:ptCount val="1"/>
                <c:pt idx="0">
                  <c:v>0</c:v>
                </c:pt>
              </c:numCache>
            </c:numRef>
          </c:val>
          <c:extLst>
            <c:ext xmlns:c16="http://schemas.microsoft.com/office/drawing/2014/chart" uri="{C3380CC4-5D6E-409C-BE32-E72D297353CC}">
              <c16:uniqueId val="{00000001-3F65-4943-BC40-C160C71EA17E}"/>
            </c:ext>
          </c:extLst>
        </c:ser>
        <c:ser>
          <c:idx val="2"/>
          <c:order val="2"/>
          <c:spPr>
            <a:solidFill>
              <a:srgbClr val="FEC698"/>
            </a:solidFill>
            <a:ln w="3175">
              <a:solidFill>
                <a:srgbClr val="000000"/>
              </a:solidFill>
              <a:prstDash val="solid"/>
            </a:ln>
          </c:spPr>
          <c:invertIfNegative val="0"/>
          <c:val>
            <c:numRef>
              <c:f>⑫防露計算!$AC$140</c:f>
              <c:numCache>
                <c:formatCode>0.0_ ;[Red]\-0.0\ </c:formatCode>
                <c:ptCount val="1"/>
                <c:pt idx="0">
                  <c:v>0</c:v>
                </c:pt>
              </c:numCache>
            </c:numRef>
          </c:val>
          <c:extLst>
            <c:ext xmlns:c16="http://schemas.microsoft.com/office/drawing/2014/chart" uri="{C3380CC4-5D6E-409C-BE32-E72D297353CC}">
              <c16:uniqueId val="{00000002-3F65-4943-BC40-C160C71EA17E}"/>
            </c:ext>
          </c:extLst>
        </c:ser>
        <c:ser>
          <c:idx val="3"/>
          <c:order val="3"/>
          <c:spPr>
            <a:solidFill>
              <a:srgbClr val="FFDDDD"/>
            </a:solidFill>
            <a:ln w="3175">
              <a:solidFill>
                <a:srgbClr val="000000"/>
              </a:solidFill>
              <a:prstDash val="solid"/>
            </a:ln>
          </c:spPr>
          <c:invertIfNegative val="0"/>
          <c:val>
            <c:numRef>
              <c:f>⑫防露計算!$AC$141</c:f>
              <c:numCache>
                <c:formatCode>0.0_ ;[Red]\-0.0\ </c:formatCode>
                <c:ptCount val="1"/>
                <c:pt idx="0">
                  <c:v>0</c:v>
                </c:pt>
              </c:numCache>
            </c:numRef>
          </c:val>
          <c:extLst>
            <c:ext xmlns:c16="http://schemas.microsoft.com/office/drawing/2014/chart" uri="{C3380CC4-5D6E-409C-BE32-E72D297353CC}">
              <c16:uniqueId val="{00000003-3F65-4943-BC40-C160C71EA17E}"/>
            </c:ext>
          </c:extLst>
        </c:ser>
        <c:ser>
          <c:idx val="4"/>
          <c:order val="4"/>
          <c:spPr>
            <a:solidFill>
              <a:srgbClr val="F3E0D1"/>
            </a:solidFill>
            <a:ln w="3175">
              <a:solidFill>
                <a:srgbClr val="000000"/>
              </a:solidFill>
              <a:prstDash val="solid"/>
            </a:ln>
          </c:spPr>
          <c:invertIfNegative val="0"/>
          <c:val>
            <c:numRef>
              <c:f>⑫防露計算!$AC$142</c:f>
              <c:numCache>
                <c:formatCode>0.0_ ;[Red]\-0.0\ </c:formatCode>
                <c:ptCount val="1"/>
                <c:pt idx="0">
                  <c:v>0</c:v>
                </c:pt>
              </c:numCache>
            </c:numRef>
          </c:val>
          <c:extLst>
            <c:ext xmlns:c16="http://schemas.microsoft.com/office/drawing/2014/chart" uri="{C3380CC4-5D6E-409C-BE32-E72D297353CC}">
              <c16:uniqueId val="{00000004-3F65-4943-BC40-C160C71EA17E}"/>
            </c:ext>
          </c:extLst>
        </c:ser>
        <c:ser>
          <c:idx val="5"/>
          <c:order val="5"/>
          <c:spPr>
            <a:solidFill>
              <a:srgbClr val="FFF4D9"/>
            </a:solidFill>
            <a:ln w="3175">
              <a:solidFill>
                <a:srgbClr val="000000"/>
              </a:solidFill>
              <a:prstDash val="solid"/>
            </a:ln>
          </c:spPr>
          <c:invertIfNegative val="0"/>
          <c:val>
            <c:numRef>
              <c:f>⑫防露計算!$AC$143</c:f>
              <c:numCache>
                <c:formatCode>0.0_ ;[Red]\-0.0\ </c:formatCode>
                <c:ptCount val="1"/>
                <c:pt idx="0">
                  <c:v>0</c:v>
                </c:pt>
              </c:numCache>
            </c:numRef>
          </c:val>
          <c:extLst>
            <c:ext xmlns:c16="http://schemas.microsoft.com/office/drawing/2014/chart" uri="{C3380CC4-5D6E-409C-BE32-E72D297353CC}">
              <c16:uniqueId val="{00000005-3F65-4943-BC40-C160C71EA17E}"/>
            </c:ext>
          </c:extLst>
        </c:ser>
        <c:ser>
          <c:idx val="6"/>
          <c:order val="6"/>
          <c:spPr>
            <a:solidFill>
              <a:srgbClr val="FFF9EF"/>
            </a:solidFill>
            <a:ln w="3175">
              <a:solidFill>
                <a:srgbClr val="000000"/>
              </a:solidFill>
              <a:prstDash val="solid"/>
            </a:ln>
          </c:spPr>
          <c:invertIfNegative val="0"/>
          <c:val>
            <c:numRef>
              <c:f>⑫防露計算!$AC$144</c:f>
              <c:numCache>
                <c:formatCode>0.0_ ;[Red]\-0.0\ </c:formatCode>
                <c:ptCount val="1"/>
                <c:pt idx="0">
                  <c:v>0</c:v>
                </c:pt>
              </c:numCache>
            </c:numRef>
          </c:val>
          <c:extLst>
            <c:ext xmlns:c16="http://schemas.microsoft.com/office/drawing/2014/chart" uri="{C3380CC4-5D6E-409C-BE32-E72D297353CC}">
              <c16:uniqueId val="{00000006-3F65-4943-BC40-C160C71EA17E}"/>
            </c:ext>
          </c:extLst>
        </c:ser>
        <c:ser>
          <c:idx val="7"/>
          <c:order val="7"/>
          <c:spPr>
            <a:solidFill>
              <a:srgbClr val="F3F1ED"/>
            </a:solidFill>
            <a:ln w="3175">
              <a:solidFill>
                <a:srgbClr val="000000"/>
              </a:solidFill>
              <a:prstDash val="solid"/>
            </a:ln>
          </c:spPr>
          <c:invertIfNegative val="0"/>
          <c:val>
            <c:numRef>
              <c:f>⑫防露計算!$AC$145</c:f>
              <c:numCache>
                <c:formatCode>0.0_ ;[Red]\-0.0\ </c:formatCode>
                <c:ptCount val="1"/>
                <c:pt idx="0">
                  <c:v>0</c:v>
                </c:pt>
              </c:numCache>
            </c:numRef>
          </c:val>
          <c:extLst>
            <c:ext xmlns:c16="http://schemas.microsoft.com/office/drawing/2014/chart" uri="{C3380CC4-5D6E-409C-BE32-E72D297353CC}">
              <c16:uniqueId val="{00000007-3F65-4943-BC40-C160C71EA17E}"/>
            </c:ext>
          </c:extLst>
        </c:ser>
        <c:ser>
          <c:idx val="8"/>
          <c:order val="8"/>
          <c:spPr>
            <a:solidFill>
              <a:srgbClr val="EAEAEA"/>
            </a:solidFill>
            <a:ln w="3175">
              <a:solidFill>
                <a:srgbClr val="000000"/>
              </a:solidFill>
              <a:prstDash val="solid"/>
            </a:ln>
          </c:spPr>
          <c:invertIfNegative val="0"/>
          <c:val>
            <c:numRef>
              <c:f>⑫防露計算!$AC$146</c:f>
              <c:numCache>
                <c:formatCode>0.0_ ;[Red]\-0.0\ </c:formatCode>
                <c:ptCount val="1"/>
                <c:pt idx="0">
                  <c:v>0</c:v>
                </c:pt>
              </c:numCache>
            </c:numRef>
          </c:val>
          <c:extLst>
            <c:ext xmlns:c16="http://schemas.microsoft.com/office/drawing/2014/chart" uri="{C3380CC4-5D6E-409C-BE32-E72D297353CC}">
              <c16:uniqueId val="{00000008-3F65-4943-BC40-C160C71EA17E}"/>
            </c:ext>
          </c:extLst>
        </c:ser>
        <c:ser>
          <c:idx val="9"/>
          <c:order val="9"/>
          <c:spPr>
            <a:solidFill>
              <a:srgbClr val="DDDDDD"/>
            </a:solidFill>
            <a:ln w="3175">
              <a:solidFill>
                <a:srgbClr val="000000"/>
              </a:solidFill>
              <a:prstDash val="solid"/>
            </a:ln>
          </c:spPr>
          <c:invertIfNegative val="0"/>
          <c:val>
            <c:numRef>
              <c:f>⑫防露計算!$AC$147</c:f>
              <c:numCache>
                <c:formatCode>0.0_ ;[Red]\-0.0\ </c:formatCode>
                <c:ptCount val="1"/>
                <c:pt idx="0">
                  <c:v>0</c:v>
                </c:pt>
              </c:numCache>
            </c:numRef>
          </c:val>
          <c:extLst>
            <c:ext xmlns:c16="http://schemas.microsoft.com/office/drawing/2014/chart" uri="{C3380CC4-5D6E-409C-BE32-E72D297353CC}">
              <c16:uniqueId val="{00000009-3F65-4943-BC40-C160C71EA17E}"/>
            </c:ext>
          </c:extLst>
        </c:ser>
        <c:ser>
          <c:idx val="10"/>
          <c:order val="10"/>
          <c:spPr>
            <a:solidFill>
              <a:srgbClr val="C0C0C0"/>
            </a:solidFill>
            <a:ln w="3175">
              <a:solidFill>
                <a:srgbClr val="000000"/>
              </a:solidFill>
              <a:prstDash val="solid"/>
            </a:ln>
          </c:spPr>
          <c:invertIfNegative val="0"/>
          <c:val>
            <c:numRef>
              <c:f>⑫防露計算!$AC$148</c:f>
              <c:numCache>
                <c:formatCode>0.0_ ;[Red]\-0.0\ </c:formatCode>
                <c:ptCount val="1"/>
                <c:pt idx="0">
                  <c:v>0</c:v>
                </c:pt>
              </c:numCache>
            </c:numRef>
          </c:val>
          <c:extLst>
            <c:ext xmlns:c16="http://schemas.microsoft.com/office/drawing/2014/chart" uri="{C3380CC4-5D6E-409C-BE32-E72D297353CC}">
              <c16:uniqueId val="{0000000A-3F65-4943-BC40-C160C71EA17E}"/>
            </c:ext>
          </c:extLst>
        </c:ser>
        <c:ser>
          <c:idx val="11"/>
          <c:order val="11"/>
          <c:spPr>
            <a:solidFill>
              <a:srgbClr val="B2B2B2"/>
            </a:solidFill>
            <a:ln w="3175">
              <a:solidFill>
                <a:srgbClr val="000000"/>
              </a:solidFill>
              <a:prstDash val="solid"/>
            </a:ln>
          </c:spPr>
          <c:invertIfNegative val="0"/>
          <c:val>
            <c:numRef>
              <c:f>⑫防露計算!$AC$149</c:f>
              <c:numCache>
                <c:formatCode>0.0_ ;[Red]\-0.0\ </c:formatCode>
                <c:ptCount val="1"/>
                <c:pt idx="0">
                  <c:v>0</c:v>
                </c:pt>
              </c:numCache>
            </c:numRef>
          </c:val>
          <c:extLst>
            <c:ext xmlns:c16="http://schemas.microsoft.com/office/drawing/2014/chart" uri="{C3380CC4-5D6E-409C-BE32-E72D297353CC}">
              <c16:uniqueId val="{0000000B-3F65-4943-BC40-C160C71EA17E}"/>
            </c:ext>
          </c:extLst>
        </c:ser>
        <c:ser>
          <c:idx val="12"/>
          <c:order val="12"/>
          <c:spPr>
            <a:solidFill>
              <a:srgbClr val="808080"/>
            </a:solidFill>
            <a:ln w="12700">
              <a:solidFill>
                <a:srgbClr val="000000"/>
              </a:solidFill>
              <a:prstDash val="solid"/>
            </a:ln>
          </c:spPr>
          <c:invertIfNegative val="0"/>
          <c:dPt>
            <c:idx val="0"/>
            <c:invertIfNegative val="0"/>
            <c:bubble3D val="0"/>
            <c:spPr>
              <a:solidFill>
                <a:srgbClr val="808080"/>
              </a:solidFill>
              <a:ln w="3175">
                <a:solidFill>
                  <a:srgbClr val="000000"/>
                </a:solidFill>
                <a:prstDash val="solid"/>
              </a:ln>
            </c:spPr>
            <c:extLst>
              <c:ext xmlns:c16="http://schemas.microsoft.com/office/drawing/2014/chart" uri="{C3380CC4-5D6E-409C-BE32-E72D297353CC}">
                <c16:uniqueId val="{0000000D-3F65-4943-BC40-C160C71EA17E}"/>
              </c:ext>
            </c:extLst>
          </c:dPt>
          <c:val>
            <c:numRef>
              <c:f>⑫防露計算!$AC$150</c:f>
              <c:numCache>
                <c:formatCode>0.0_ ;[Red]\-0.0\ </c:formatCode>
                <c:ptCount val="1"/>
                <c:pt idx="0">
                  <c:v>0</c:v>
                </c:pt>
              </c:numCache>
            </c:numRef>
          </c:val>
          <c:extLst>
            <c:ext xmlns:c16="http://schemas.microsoft.com/office/drawing/2014/chart" uri="{C3380CC4-5D6E-409C-BE32-E72D297353CC}">
              <c16:uniqueId val="{0000000E-3F65-4943-BC40-C160C71EA17E}"/>
            </c:ext>
          </c:extLst>
        </c:ser>
        <c:ser>
          <c:idx val="13"/>
          <c:order val="13"/>
          <c:spPr>
            <a:noFill/>
            <a:ln w="25400">
              <a:noFill/>
            </a:ln>
          </c:spPr>
          <c:invertIfNegative val="0"/>
          <c:dPt>
            <c:idx val="0"/>
            <c:invertIfNegative val="0"/>
            <c:bubble3D val="0"/>
            <c:spPr>
              <a:noFill/>
              <a:ln w="25400">
                <a:solidFill>
                  <a:schemeClr val="bg1">
                    <a:lumMod val="50000"/>
                  </a:schemeClr>
                </a:solidFill>
                <a:prstDash val="sysDash"/>
              </a:ln>
            </c:spPr>
            <c:extLst>
              <c:ext xmlns:c16="http://schemas.microsoft.com/office/drawing/2014/chart" uri="{C3380CC4-5D6E-409C-BE32-E72D297353CC}">
                <c16:uniqueId val="{00000010-3F65-4943-BC40-C160C71EA17E}"/>
              </c:ext>
            </c:extLst>
          </c:dPt>
          <c:val>
            <c:numRef>
              <c:f>⑫防露計算!$AC$151</c:f>
              <c:numCache>
                <c:formatCode>0.0_ ;[Red]\-0.0\ </c:formatCode>
                <c:ptCount val="1"/>
                <c:pt idx="0">
                  <c:v>18</c:v>
                </c:pt>
              </c:numCache>
            </c:numRef>
          </c:val>
          <c:extLst>
            <c:ext xmlns:c16="http://schemas.microsoft.com/office/drawing/2014/chart" uri="{C3380CC4-5D6E-409C-BE32-E72D297353CC}">
              <c16:uniqueId val="{00000011-3F65-4943-BC40-C160C71EA17E}"/>
            </c:ext>
          </c:extLst>
        </c:ser>
        <c:ser>
          <c:idx val="14"/>
          <c:order val="14"/>
          <c:spPr>
            <a:noFill/>
            <a:ln w="25400">
              <a:noFill/>
            </a:ln>
          </c:spPr>
          <c:invertIfNegative val="0"/>
          <c:val>
            <c:numRef>
              <c:f>⑫防露計算!$AC$152</c:f>
              <c:numCache>
                <c:formatCode>General</c:formatCode>
                <c:ptCount val="1"/>
                <c:pt idx="0">
                  <c:v>50</c:v>
                </c:pt>
              </c:numCache>
            </c:numRef>
          </c:val>
          <c:extLst>
            <c:ext xmlns:c16="http://schemas.microsoft.com/office/drawing/2014/chart" uri="{C3380CC4-5D6E-409C-BE32-E72D297353CC}">
              <c16:uniqueId val="{00000012-3F65-4943-BC40-C160C71EA17E}"/>
            </c:ext>
          </c:extLst>
        </c:ser>
        <c:dLbls>
          <c:showLegendKey val="0"/>
          <c:showVal val="0"/>
          <c:showCatName val="0"/>
          <c:showSerName val="0"/>
          <c:showPercent val="0"/>
          <c:showBubbleSize val="0"/>
        </c:dLbls>
        <c:gapWidth val="0"/>
        <c:overlap val="100"/>
        <c:axId val="544725896"/>
        <c:axId val="544045976"/>
      </c:barChart>
      <c:catAx>
        <c:axId val="544725896"/>
        <c:scaling>
          <c:orientation val="minMax"/>
        </c:scaling>
        <c:delete val="1"/>
        <c:axPos val="l"/>
        <c:majorTickMark val="out"/>
        <c:minorTickMark val="none"/>
        <c:tickLblPos val="none"/>
        <c:crossAx val="544045976"/>
        <c:crosses val="autoZero"/>
        <c:auto val="1"/>
        <c:lblAlgn val="ctr"/>
        <c:lblOffset val="100"/>
        <c:noMultiLvlLbl val="0"/>
      </c:catAx>
      <c:valAx>
        <c:axId val="544045976"/>
        <c:scaling>
          <c:orientation val="minMax"/>
        </c:scaling>
        <c:delete val="1"/>
        <c:axPos val="b"/>
        <c:majorGridlines>
          <c:spPr>
            <a:ln w="3175">
              <a:solidFill>
                <a:srgbClr val="FFFFFF"/>
              </a:solidFill>
              <a:prstDash val="solid"/>
            </a:ln>
          </c:spPr>
        </c:majorGridlines>
        <c:numFmt formatCode="General" sourceLinked="1"/>
        <c:majorTickMark val="out"/>
        <c:minorTickMark val="none"/>
        <c:tickLblPos val="none"/>
        <c:crossAx val="544725896"/>
        <c:crosses val="autoZero"/>
        <c:crossBetween val="between"/>
      </c:valAx>
      <c:spPr>
        <a:solidFill>
          <a:srgbClr val="F3F1ED"/>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67" r="0.75000000000000167"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600792547990322E-2"/>
          <c:y val="4.8611111111111112E-2"/>
          <c:w val="0.91354063095054294"/>
          <c:h val="0.87361504811898716"/>
        </c:manualLayout>
      </c:layout>
      <c:barChart>
        <c:barDir val="bar"/>
        <c:grouping val="stacked"/>
        <c:varyColors val="0"/>
        <c:ser>
          <c:idx val="0"/>
          <c:order val="0"/>
          <c:spPr>
            <a:noFill/>
            <a:ln w="25400">
              <a:noFill/>
            </a:ln>
          </c:spPr>
          <c:invertIfNegative val="0"/>
          <c:val>
            <c:numRef>
              <c:f>⑫防露計算!$AC$182</c:f>
              <c:numCache>
                <c:formatCode>General</c:formatCode>
                <c:ptCount val="1"/>
                <c:pt idx="0">
                  <c:v>50</c:v>
                </c:pt>
              </c:numCache>
            </c:numRef>
          </c:val>
          <c:extLst>
            <c:ext xmlns:c16="http://schemas.microsoft.com/office/drawing/2014/chart" uri="{C3380CC4-5D6E-409C-BE32-E72D297353CC}">
              <c16:uniqueId val="{00000000-C355-4549-BAE2-1E1CF27E3A3E}"/>
            </c:ext>
          </c:extLst>
        </c:ser>
        <c:ser>
          <c:idx val="1"/>
          <c:order val="1"/>
          <c:spPr>
            <a:solidFill>
              <a:srgbClr val="FF9900"/>
            </a:solidFill>
            <a:ln w="3175">
              <a:solidFill>
                <a:srgbClr val="000000"/>
              </a:solidFill>
              <a:prstDash val="solid"/>
            </a:ln>
          </c:spPr>
          <c:invertIfNegative val="0"/>
          <c:val>
            <c:numRef>
              <c:f>⑫防露計算!$AC$183</c:f>
              <c:numCache>
                <c:formatCode>0.0_ ;[Red]\-0.0\ </c:formatCode>
                <c:ptCount val="1"/>
                <c:pt idx="0">
                  <c:v>0</c:v>
                </c:pt>
              </c:numCache>
            </c:numRef>
          </c:val>
          <c:extLst>
            <c:ext xmlns:c16="http://schemas.microsoft.com/office/drawing/2014/chart" uri="{C3380CC4-5D6E-409C-BE32-E72D297353CC}">
              <c16:uniqueId val="{00000001-C355-4549-BAE2-1E1CF27E3A3E}"/>
            </c:ext>
          </c:extLst>
        </c:ser>
        <c:ser>
          <c:idx val="2"/>
          <c:order val="2"/>
          <c:spPr>
            <a:solidFill>
              <a:srgbClr val="FEC698"/>
            </a:solidFill>
            <a:ln w="3175">
              <a:solidFill>
                <a:srgbClr val="000000"/>
              </a:solidFill>
              <a:prstDash val="solid"/>
            </a:ln>
          </c:spPr>
          <c:invertIfNegative val="0"/>
          <c:val>
            <c:numRef>
              <c:f>⑫防露計算!$AC$184</c:f>
              <c:numCache>
                <c:formatCode>0.0_ ;[Red]\-0.0\ </c:formatCode>
                <c:ptCount val="1"/>
                <c:pt idx="0">
                  <c:v>0</c:v>
                </c:pt>
              </c:numCache>
            </c:numRef>
          </c:val>
          <c:extLst>
            <c:ext xmlns:c16="http://schemas.microsoft.com/office/drawing/2014/chart" uri="{C3380CC4-5D6E-409C-BE32-E72D297353CC}">
              <c16:uniqueId val="{00000002-C355-4549-BAE2-1E1CF27E3A3E}"/>
            </c:ext>
          </c:extLst>
        </c:ser>
        <c:ser>
          <c:idx val="3"/>
          <c:order val="3"/>
          <c:spPr>
            <a:solidFill>
              <a:srgbClr val="FFDDDD"/>
            </a:solidFill>
            <a:ln w="3175">
              <a:solidFill>
                <a:srgbClr val="000000"/>
              </a:solidFill>
              <a:prstDash val="solid"/>
            </a:ln>
          </c:spPr>
          <c:invertIfNegative val="0"/>
          <c:val>
            <c:numRef>
              <c:f>⑫防露計算!$AC$185</c:f>
              <c:numCache>
                <c:formatCode>0.0_ ;[Red]\-0.0\ </c:formatCode>
                <c:ptCount val="1"/>
                <c:pt idx="0">
                  <c:v>0</c:v>
                </c:pt>
              </c:numCache>
            </c:numRef>
          </c:val>
          <c:extLst>
            <c:ext xmlns:c16="http://schemas.microsoft.com/office/drawing/2014/chart" uri="{C3380CC4-5D6E-409C-BE32-E72D297353CC}">
              <c16:uniqueId val="{00000003-C355-4549-BAE2-1E1CF27E3A3E}"/>
            </c:ext>
          </c:extLst>
        </c:ser>
        <c:ser>
          <c:idx val="4"/>
          <c:order val="4"/>
          <c:spPr>
            <a:solidFill>
              <a:srgbClr val="F3E0D1"/>
            </a:solidFill>
            <a:ln w="3175">
              <a:solidFill>
                <a:srgbClr val="000000"/>
              </a:solidFill>
              <a:prstDash val="solid"/>
            </a:ln>
          </c:spPr>
          <c:invertIfNegative val="0"/>
          <c:val>
            <c:numRef>
              <c:f>⑫防露計算!$AC$186</c:f>
              <c:numCache>
                <c:formatCode>0.0_ ;[Red]\-0.0\ </c:formatCode>
                <c:ptCount val="1"/>
                <c:pt idx="0">
                  <c:v>0</c:v>
                </c:pt>
              </c:numCache>
            </c:numRef>
          </c:val>
          <c:extLst>
            <c:ext xmlns:c16="http://schemas.microsoft.com/office/drawing/2014/chart" uri="{C3380CC4-5D6E-409C-BE32-E72D297353CC}">
              <c16:uniqueId val="{00000004-C355-4549-BAE2-1E1CF27E3A3E}"/>
            </c:ext>
          </c:extLst>
        </c:ser>
        <c:ser>
          <c:idx val="5"/>
          <c:order val="5"/>
          <c:spPr>
            <a:solidFill>
              <a:srgbClr val="FFF4D9"/>
            </a:solidFill>
            <a:ln w="3175">
              <a:solidFill>
                <a:srgbClr val="000000"/>
              </a:solidFill>
              <a:prstDash val="solid"/>
            </a:ln>
          </c:spPr>
          <c:invertIfNegative val="0"/>
          <c:val>
            <c:numRef>
              <c:f>⑫防露計算!$AC$187</c:f>
              <c:numCache>
                <c:formatCode>0.0_ ;[Red]\-0.0\ </c:formatCode>
                <c:ptCount val="1"/>
                <c:pt idx="0">
                  <c:v>0</c:v>
                </c:pt>
              </c:numCache>
            </c:numRef>
          </c:val>
          <c:extLst>
            <c:ext xmlns:c16="http://schemas.microsoft.com/office/drawing/2014/chart" uri="{C3380CC4-5D6E-409C-BE32-E72D297353CC}">
              <c16:uniqueId val="{00000005-C355-4549-BAE2-1E1CF27E3A3E}"/>
            </c:ext>
          </c:extLst>
        </c:ser>
        <c:ser>
          <c:idx val="6"/>
          <c:order val="6"/>
          <c:spPr>
            <a:solidFill>
              <a:srgbClr val="FFF9EF"/>
            </a:solidFill>
            <a:ln w="3175">
              <a:solidFill>
                <a:srgbClr val="000000"/>
              </a:solidFill>
              <a:prstDash val="solid"/>
            </a:ln>
          </c:spPr>
          <c:invertIfNegative val="0"/>
          <c:val>
            <c:numRef>
              <c:f>⑫防露計算!$AC$188</c:f>
              <c:numCache>
                <c:formatCode>0.0_ ;[Red]\-0.0\ </c:formatCode>
                <c:ptCount val="1"/>
                <c:pt idx="0">
                  <c:v>0</c:v>
                </c:pt>
              </c:numCache>
            </c:numRef>
          </c:val>
          <c:extLst>
            <c:ext xmlns:c16="http://schemas.microsoft.com/office/drawing/2014/chart" uri="{C3380CC4-5D6E-409C-BE32-E72D297353CC}">
              <c16:uniqueId val="{00000006-C355-4549-BAE2-1E1CF27E3A3E}"/>
            </c:ext>
          </c:extLst>
        </c:ser>
        <c:ser>
          <c:idx val="7"/>
          <c:order val="7"/>
          <c:spPr>
            <a:solidFill>
              <a:srgbClr val="F3F1ED"/>
            </a:solidFill>
            <a:ln w="3175">
              <a:solidFill>
                <a:srgbClr val="000000"/>
              </a:solidFill>
              <a:prstDash val="solid"/>
            </a:ln>
          </c:spPr>
          <c:invertIfNegative val="0"/>
          <c:val>
            <c:numRef>
              <c:f>⑫防露計算!$AC$189</c:f>
              <c:numCache>
                <c:formatCode>0.0_ ;[Red]\-0.0\ </c:formatCode>
                <c:ptCount val="1"/>
                <c:pt idx="0">
                  <c:v>0</c:v>
                </c:pt>
              </c:numCache>
            </c:numRef>
          </c:val>
          <c:extLst>
            <c:ext xmlns:c16="http://schemas.microsoft.com/office/drawing/2014/chart" uri="{C3380CC4-5D6E-409C-BE32-E72D297353CC}">
              <c16:uniqueId val="{00000007-C355-4549-BAE2-1E1CF27E3A3E}"/>
            </c:ext>
          </c:extLst>
        </c:ser>
        <c:ser>
          <c:idx val="8"/>
          <c:order val="8"/>
          <c:spPr>
            <a:solidFill>
              <a:srgbClr val="EAEAEA"/>
            </a:solidFill>
            <a:ln w="3175">
              <a:solidFill>
                <a:srgbClr val="000000"/>
              </a:solidFill>
              <a:prstDash val="solid"/>
            </a:ln>
          </c:spPr>
          <c:invertIfNegative val="0"/>
          <c:val>
            <c:numRef>
              <c:f>⑫防露計算!$AC$190</c:f>
              <c:numCache>
                <c:formatCode>0.0_ ;[Red]\-0.0\ </c:formatCode>
                <c:ptCount val="1"/>
                <c:pt idx="0">
                  <c:v>0</c:v>
                </c:pt>
              </c:numCache>
            </c:numRef>
          </c:val>
          <c:extLst>
            <c:ext xmlns:c16="http://schemas.microsoft.com/office/drawing/2014/chart" uri="{C3380CC4-5D6E-409C-BE32-E72D297353CC}">
              <c16:uniqueId val="{00000008-C355-4549-BAE2-1E1CF27E3A3E}"/>
            </c:ext>
          </c:extLst>
        </c:ser>
        <c:ser>
          <c:idx val="9"/>
          <c:order val="9"/>
          <c:spPr>
            <a:solidFill>
              <a:srgbClr val="DDDDDD"/>
            </a:solidFill>
            <a:ln w="3175">
              <a:solidFill>
                <a:srgbClr val="000000"/>
              </a:solidFill>
              <a:prstDash val="solid"/>
            </a:ln>
          </c:spPr>
          <c:invertIfNegative val="0"/>
          <c:val>
            <c:numRef>
              <c:f>⑫防露計算!$AC$191</c:f>
              <c:numCache>
                <c:formatCode>0.0_ ;[Red]\-0.0\ </c:formatCode>
                <c:ptCount val="1"/>
                <c:pt idx="0">
                  <c:v>0</c:v>
                </c:pt>
              </c:numCache>
            </c:numRef>
          </c:val>
          <c:extLst>
            <c:ext xmlns:c16="http://schemas.microsoft.com/office/drawing/2014/chart" uri="{C3380CC4-5D6E-409C-BE32-E72D297353CC}">
              <c16:uniqueId val="{00000009-C355-4549-BAE2-1E1CF27E3A3E}"/>
            </c:ext>
          </c:extLst>
        </c:ser>
        <c:ser>
          <c:idx val="10"/>
          <c:order val="10"/>
          <c:spPr>
            <a:solidFill>
              <a:srgbClr val="C0C0C0"/>
            </a:solidFill>
            <a:ln w="3175">
              <a:solidFill>
                <a:srgbClr val="000000"/>
              </a:solidFill>
              <a:prstDash val="solid"/>
            </a:ln>
          </c:spPr>
          <c:invertIfNegative val="0"/>
          <c:val>
            <c:numRef>
              <c:f>⑫防露計算!$AC$192</c:f>
              <c:numCache>
                <c:formatCode>0.0_ ;[Red]\-0.0\ </c:formatCode>
                <c:ptCount val="1"/>
                <c:pt idx="0">
                  <c:v>0</c:v>
                </c:pt>
              </c:numCache>
            </c:numRef>
          </c:val>
          <c:extLst>
            <c:ext xmlns:c16="http://schemas.microsoft.com/office/drawing/2014/chart" uri="{C3380CC4-5D6E-409C-BE32-E72D297353CC}">
              <c16:uniqueId val="{0000000A-C355-4549-BAE2-1E1CF27E3A3E}"/>
            </c:ext>
          </c:extLst>
        </c:ser>
        <c:ser>
          <c:idx val="11"/>
          <c:order val="11"/>
          <c:spPr>
            <a:solidFill>
              <a:srgbClr val="B2B2B2"/>
            </a:solidFill>
            <a:ln w="3175">
              <a:solidFill>
                <a:srgbClr val="000000"/>
              </a:solidFill>
              <a:prstDash val="solid"/>
            </a:ln>
          </c:spPr>
          <c:invertIfNegative val="0"/>
          <c:val>
            <c:numRef>
              <c:f>⑫防露計算!$AC$193</c:f>
              <c:numCache>
                <c:formatCode>0.0_ ;[Red]\-0.0\ </c:formatCode>
                <c:ptCount val="1"/>
                <c:pt idx="0">
                  <c:v>0</c:v>
                </c:pt>
              </c:numCache>
            </c:numRef>
          </c:val>
          <c:extLst>
            <c:ext xmlns:c16="http://schemas.microsoft.com/office/drawing/2014/chart" uri="{C3380CC4-5D6E-409C-BE32-E72D297353CC}">
              <c16:uniqueId val="{0000000B-C355-4549-BAE2-1E1CF27E3A3E}"/>
            </c:ext>
          </c:extLst>
        </c:ser>
        <c:ser>
          <c:idx val="12"/>
          <c:order val="12"/>
          <c:spPr>
            <a:solidFill>
              <a:srgbClr val="808080"/>
            </a:solidFill>
            <a:ln w="12700">
              <a:solidFill>
                <a:srgbClr val="000000"/>
              </a:solidFill>
              <a:prstDash val="solid"/>
            </a:ln>
          </c:spPr>
          <c:invertIfNegative val="0"/>
          <c:dPt>
            <c:idx val="0"/>
            <c:invertIfNegative val="0"/>
            <c:bubble3D val="0"/>
            <c:spPr>
              <a:solidFill>
                <a:srgbClr val="808080"/>
              </a:solidFill>
              <a:ln w="3175">
                <a:solidFill>
                  <a:srgbClr val="000000"/>
                </a:solidFill>
                <a:prstDash val="solid"/>
              </a:ln>
            </c:spPr>
            <c:extLst>
              <c:ext xmlns:c16="http://schemas.microsoft.com/office/drawing/2014/chart" uri="{C3380CC4-5D6E-409C-BE32-E72D297353CC}">
                <c16:uniqueId val="{0000000D-C355-4549-BAE2-1E1CF27E3A3E}"/>
              </c:ext>
            </c:extLst>
          </c:dPt>
          <c:val>
            <c:numRef>
              <c:f>⑫防露計算!$AC$194</c:f>
              <c:numCache>
                <c:formatCode>0.0_ ;[Red]\-0.0\ </c:formatCode>
                <c:ptCount val="1"/>
                <c:pt idx="0">
                  <c:v>0</c:v>
                </c:pt>
              </c:numCache>
            </c:numRef>
          </c:val>
          <c:extLst>
            <c:ext xmlns:c16="http://schemas.microsoft.com/office/drawing/2014/chart" uri="{C3380CC4-5D6E-409C-BE32-E72D297353CC}">
              <c16:uniqueId val="{0000000E-C355-4549-BAE2-1E1CF27E3A3E}"/>
            </c:ext>
          </c:extLst>
        </c:ser>
        <c:ser>
          <c:idx val="13"/>
          <c:order val="13"/>
          <c:spPr>
            <a:noFill/>
            <a:ln w="25400">
              <a:noFill/>
            </a:ln>
          </c:spPr>
          <c:invertIfNegative val="0"/>
          <c:dPt>
            <c:idx val="0"/>
            <c:invertIfNegative val="0"/>
            <c:bubble3D val="0"/>
            <c:spPr>
              <a:noFill/>
              <a:ln w="25400">
                <a:solidFill>
                  <a:schemeClr val="bg1">
                    <a:lumMod val="50000"/>
                  </a:schemeClr>
                </a:solidFill>
                <a:prstDash val="sysDash"/>
              </a:ln>
            </c:spPr>
            <c:extLst>
              <c:ext xmlns:c16="http://schemas.microsoft.com/office/drawing/2014/chart" uri="{C3380CC4-5D6E-409C-BE32-E72D297353CC}">
                <c16:uniqueId val="{00000010-C355-4549-BAE2-1E1CF27E3A3E}"/>
              </c:ext>
            </c:extLst>
          </c:dPt>
          <c:val>
            <c:numRef>
              <c:f>⑫防露計算!$AC$195</c:f>
              <c:numCache>
                <c:formatCode>0.0_ ;[Red]\-0.0\ </c:formatCode>
                <c:ptCount val="1"/>
                <c:pt idx="0">
                  <c:v>18</c:v>
                </c:pt>
              </c:numCache>
            </c:numRef>
          </c:val>
          <c:extLst>
            <c:ext xmlns:c16="http://schemas.microsoft.com/office/drawing/2014/chart" uri="{C3380CC4-5D6E-409C-BE32-E72D297353CC}">
              <c16:uniqueId val="{00000011-C355-4549-BAE2-1E1CF27E3A3E}"/>
            </c:ext>
          </c:extLst>
        </c:ser>
        <c:ser>
          <c:idx val="14"/>
          <c:order val="14"/>
          <c:spPr>
            <a:noFill/>
            <a:ln w="25400">
              <a:noFill/>
            </a:ln>
          </c:spPr>
          <c:invertIfNegative val="0"/>
          <c:val>
            <c:numRef>
              <c:f>⑫防露計算!$AC$196</c:f>
              <c:numCache>
                <c:formatCode>General</c:formatCode>
                <c:ptCount val="1"/>
                <c:pt idx="0">
                  <c:v>50</c:v>
                </c:pt>
              </c:numCache>
            </c:numRef>
          </c:val>
          <c:extLst>
            <c:ext xmlns:c16="http://schemas.microsoft.com/office/drawing/2014/chart" uri="{C3380CC4-5D6E-409C-BE32-E72D297353CC}">
              <c16:uniqueId val="{00000012-C355-4549-BAE2-1E1CF27E3A3E}"/>
            </c:ext>
          </c:extLst>
        </c:ser>
        <c:dLbls>
          <c:showLegendKey val="0"/>
          <c:showVal val="0"/>
          <c:showCatName val="0"/>
          <c:showSerName val="0"/>
          <c:showPercent val="0"/>
          <c:showBubbleSize val="0"/>
        </c:dLbls>
        <c:gapWidth val="0"/>
        <c:overlap val="100"/>
        <c:axId val="544725896"/>
        <c:axId val="544045976"/>
      </c:barChart>
      <c:catAx>
        <c:axId val="544725896"/>
        <c:scaling>
          <c:orientation val="minMax"/>
        </c:scaling>
        <c:delete val="1"/>
        <c:axPos val="l"/>
        <c:majorTickMark val="out"/>
        <c:minorTickMark val="none"/>
        <c:tickLblPos val="none"/>
        <c:crossAx val="544045976"/>
        <c:crosses val="autoZero"/>
        <c:auto val="1"/>
        <c:lblAlgn val="ctr"/>
        <c:lblOffset val="100"/>
        <c:noMultiLvlLbl val="0"/>
      </c:catAx>
      <c:valAx>
        <c:axId val="544045976"/>
        <c:scaling>
          <c:orientation val="minMax"/>
        </c:scaling>
        <c:delete val="1"/>
        <c:axPos val="b"/>
        <c:majorGridlines>
          <c:spPr>
            <a:ln w="3175">
              <a:solidFill>
                <a:srgbClr val="FFFFFF"/>
              </a:solidFill>
              <a:prstDash val="solid"/>
            </a:ln>
          </c:spPr>
        </c:majorGridlines>
        <c:numFmt formatCode="General" sourceLinked="1"/>
        <c:majorTickMark val="out"/>
        <c:minorTickMark val="none"/>
        <c:tickLblPos val="none"/>
        <c:crossAx val="544725896"/>
        <c:crosses val="autoZero"/>
        <c:crossBetween val="between"/>
      </c:valAx>
      <c:spPr>
        <a:solidFill>
          <a:srgbClr val="F3F1ED"/>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67" r="0.75000000000000167"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600792547990322E-2"/>
          <c:y val="4.8611111111111112E-2"/>
          <c:w val="0.91354063095054294"/>
          <c:h val="0.87361504811898716"/>
        </c:manualLayout>
      </c:layout>
      <c:barChart>
        <c:barDir val="bar"/>
        <c:grouping val="stacked"/>
        <c:varyColors val="0"/>
        <c:ser>
          <c:idx val="0"/>
          <c:order val="0"/>
          <c:spPr>
            <a:noFill/>
            <a:ln w="25400">
              <a:noFill/>
            </a:ln>
          </c:spPr>
          <c:invertIfNegative val="0"/>
          <c:val>
            <c:numRef>
              <c:f>⑫防露計算!$AC$226</c:f>
              <c:numCache>
                <c:formatCode>General</c:formatCode>
                <c:ptCount val="1"/>
                <c:pt idx="0">
                  <c:v>50</c:v>
                </c:pt>
              </c:numCache>
            </c:numRef>
          </c:val>
          <c:extLst>
            <c:ext xmlns:c16="http://schemas.microsoft.com/office/drawing/2014/chart" uri="{C3380CC4-5D6E-409C-BE32-E72D297353CC}">
              <c16:uniqueId val="{00000000-00C1-4BEB-BD97-142AD162187C}"/>
            </c:ext>
          </c:extLst>
        </c:ser>
        <c:ser>
          <c:idx val="1"/>
          <c:order val="1"/>
          <c:spPr>
            <a:solidFill>
              <a:srgbClr val="FF9900"/>
            </a:solidFill>
            <a:ln w="3175">
              <a:solidFill>
                <a:srgbClr val="000000"/>
              </a:solidFill>
              <a:prstDash val="solid"/>
            </a:ln>
          </c:spPr>
          <c:invertIfNegative val="0"/>
          <c:val>
            <c:numRef>
              <c:f>⑫防露計算!$AC$227</c:f>
              <c:numCache>
                <c:formatCode>0.0_ ;[Red]\-0.0\ </c:formatCode>
                <c:ptCount val="1"/>
                <c:pt idx="0">
                  <c:v>0</c:v>
                </c:pt>
              </c:numCache>
            </c:numRef>
          </c:val>
          <c:extLst>
            <c:ext xmlns:c16="http://schemas.microsoft.com/office/drawing/2014/chart" uri="{C3380CC4-5D6E-409C-BE32-E72D297353CC}">
              <c16:uniqueId val="{00000001-00C1-4BEB-BD97-142AD162187C}"/>
            </c:ext>
          </c:extLst>
        </c:ser>
        <c:ser>
          <c:idx val="2"/>
          <c:order val="2"/>
          <c:spPr>
            <a:solidFill>
              <a:srgbClr val="FEC698"/>
            </a:solidFill>
            <a:ln w="3175">
              <a:solidFill>
                <a:srgbClr val="000000"/>
              </a:solidFill>
              <a:prstDash val="solid"/>
            </a:ln>
          </c:spPr>
          <c:invertIfNegative val="0"/>
          <c:val>
            <c:numRef>
              <c:f>⑫防露計算!$AC$228</c:f>
              <c:numCache>
                <c:formatCode>0.0_ ;[Red]\-0.0\ </c:formatCode>
                <c:ptCount val="1"/>
                <c:pt idx="0">
                  <c:v>0</c:v>
                </c:pt>
              </c:numCache>
            </c:numRef>
          </c:val>
          <c:extLst>
            <c:ext xmlns:c16="http://schemas.microsoft.com/office/drawing/2014/chart" uri="{C3380CC4-5D6E-409C-BE32-E72D297353CC}">
              <c16:uniqueId val="{00000002-00C1-4BEB-BD97-142AD162187C}"/>
            </c:ext>
          </c:extLst>
        </c:ser>
        <c:ser>
          <c:idx val="3"/>
          <c:order val="3"/>
          <c:spPr>
            <a:solidFill>
              <a:srgbClr val="FFDDDD"/>
            </a:solidFill>
            <a:ln w="3175">
              <a:solidFill>
                <a:srgbClr val="000000"/>
              </a:solidFill>
              <a:prstDash val="solid"/>
            </a:ln>
          </c:spPr>
          <c:invertIfNegative val="0"/>
          <c:val>
            <c:numRef>
              <c:f>⑫防露計算!$AC$229</c:f>
              <c:numCache>
                <c:formatCode>0.0_ ;[Red]\-0.0\ </c:formatCode>
                <c:ptCount val="1"/>
                <c:pt idx="0">
                  <c:v>0</c:v>
                </c:pt>
              </c:numCache>
            </c:numRef>
          </c:val>
          <c:extLst>
            <c:ext xmlns:c16="http://schemas.microsoft.com/office/drawing/2014/chart" uri="{C3380CC4-5D6E-409C-BE32-E72D297353CC}">
              <c16:uniqueId val="{00000003-00C1-4BEB-BD97-142AD162187C}"/>
            </c:ext>
          </c:extLst>
        </c:ser>
        <c:ser>
          <c:idx val="4"/>
          <c:order val="4"/>
          <c:spPr>
            <a:solidFill>
              <a:srgbClr val="F3E0D1"/>
            </a:solidFill>
            <a:ln w="3175">
              <a:solidFill>
                <a:srgbClr val="000000"/>
              </a:solidFill>
              <a:prstDash val="solid"/>
            </a:ln>
          </c:spPr>
          <c:invertIfNegative val="0"/>
          <c:val>
            <c:numRef>
              <c:f>⑫防露計算!$AC$230</c:f>
              <c:numCache>
                <c:formatCode>0.0_ ;[Red]\-0.0\ </c:formatCode>
                <c:ptCount val="1"/>
                <c:pt idx="0">
                  <c:v>0</c:v>
                </c:pt>
              </c:numCache>
            </c:numRef>
          </c:val>
          <c:extLst>
            <c:ext xmlns:c16="http://schemas.microsoft.com/office/drawing/2014/chart" uri="{C3380CC4-5D6E-409C-BE32-E72D297353CC}">
              <c16:uniqueId val="{00000004-00C1-4BEB-BD97-142AD162187C}"/>
            </c:ext>
          </c:extLst>
        </c:ser>
        <c:ser>
          <c:idx val="5"/>
          <c:order val="5"/>
          <c:spPr>
            <a:solidFill>
              <a:srgbClr val="FFF4D9"/>
            </a:solidFill>
            <a:ln w="3175">
              <a:solidFill>
                <a:srgbClr val="000000"/>
              </a:solidFill>
              <a:prstDash val="solid"/>
            </a:ln>
          </c:spPr>
          <c:invertIfNegative val="0"/>
          <c:val>
            <c:numRef>
              <c:f>⑫防露計算!$AC$231</c:f>
              <c:numCache>
                <c:formatCode>0.0_ ;[Red]\-0.0\ </c:formatCode>
                <c:ptCount val="1"/>
                <c:pt idx="0">
                  <c:v>0</c:v>
                </c:pt>
              </c:numCache>
            </c:numRef>
          </c:val>
          <c:extLst>
            <c:ext xmlns:c16="http://schemas.microsoft.com/office/drawing/2014/chart" uri="{C3380CC4-5D6E-409C-BE32-E72D297353CC}">
              <c16:uniqueId val="{00000005-00C1-4BEB-BD97-142AD162187C}"/>
            </c:ext>
          </c:extLst>
        </c:ser>
        <c:ser>
          <c:idx val="6"/>
          <c:order val="6"/>
          <c:spPr>
            <a:solidFill>
              <a:srgbClr val="FFF9EF"/>
            </a:solidFill>
            <a:ln w="3175">
              <a:solidFill>
                <a:srgbClr val="000000"/>
              </a:solidFill>
              <a:prstDash val="solid"/>
            </a:ln>
          </c:spPr>
          <c:invertIfNegative val="0"/>
          <c:val>
            <c:numRef>
              <c:f>⑫防露計算!$AC$232</c:f>
              <c:numCache>
                <c:formatCode>0.0_ ;[Red]\-0.0\ </c:formatCode>
                <c:ptCount val="1"/>
                <c:pt idx="0">
                  <c:v>0</c:v>
                </c:pt>
              </c:numCache>
            </c:numRef>
          </c:val>
          <c:extLst>
            <c:ext xmlns:c16="http://schemas.microsoft.com/office/drawing/2014/chart" uri="{C3380CC4-5D6E-409C-BE32-E72D297353CC}">
              <c16:uniqueId val="{00000006-00C1-4BEB-BD97-142AD162187C}"/>
            </c:ext>
          </c:extLst>
        </c:ser>
        <c:ser>
          <c:idx val="7"/>
          <c:order val="7"/>
          <c:spPr>
            <a:solidFill>
              <a:srgbClr val="F3F1ED"/>
            </a:solidFill>
            <a:ln w="3175">
              <a:solidFill>
                <a:srgbClr val="000000"/>
              </a:solidFill>
              <a:prstDash val="solid"/>
            </a:ln>
          </c:spPr>
          <c:invertIfNegative val="0"/>
          <c:val>
            <c:numRef>
              <c:f>⑫防露計算!$AC$233</c:f>
              <c:numCache>
                <c:formatCode>0.0_ ;[Red]\-0.0\ </c:formatCode>
                <c:ptCount val="1"/>
                <c:pt idx="0">
                  <c:v>0</c:v>
                </c:pt>
              </c:numCache>
            </c:numRef>
          </c:val>
          <c:extLst>
            <c:ext xmlns:c16="http://schemas.microsoft.com/office/drawing/2014/chart" uri="{C3380CC4-5D6E-409C-BE32-E72D297353CC}">
              <c16:uniqueId val="{00000007-00C1-4BEB-BD97-142AD162187C}"/>
            </c:ext>
          </c:extLst>
        </c:ser>
        <c:ser>
          <c:idx val="8"/>
          <c:order val="8"/>
          <c:spPr>
            <a:solidFill>
              <a:srgbClr val="EAEAEA"/>
            </a:solidFill>
            <a:ln w="3175">
              <a:solidFill>
                <a:srgbClr val="000000"/>
              </a:solidFill>
              <a:prstDash val="solid"/>
            </a:ln>
          </c:spPr>
          <c:invertIfNegative val="0"/>
          <c:val>
            <c:numRef>
              <c:f>⑫防露計算!$AC$234</c:f>
              <c:numCache>
                <c:formatCode>0.0_ ;[Red]\-0.0\ </c:formatCode>
                <c:ptCount val="1"/>
                <c:pt idx="0">
                  <c:v>0</c:v>
                </c:pt>
              </c:numCache>
            </c:numRef>
          </c:val>
          <c:extLst>
            <c:ext xmlns:c16="http://schemas.microsoft.com/office/drawing/2014/chart" uri="{C3380CC4-5D6E-409C-BE32-E72D297353CC}">
              <c16:uniqueId val="{00000008-00C1-4BEB-BD97-142AD162187C}"/>
            </c:ext>
          </c:extLst>
        </c:ser>
        <c:ser>
          <c:idx val="9"/>
          <c:order val="9"/>
          <c:spPr>
            <a:solidFill>
              <a:srgbClr val="DDDDDD"/>
            </a:solidFill>
            <a:ln w="3175">
              <a:solidFill>
                <a:srgbClr val="000000"/>
              </a:solidFill>
              <a:prstDash val="solid"/>
            </a:ln>
          </c:spPr>
          <c:invertIfNegative val="0"/>
          <c:val>
            <c:numRef>
              <c:f>⑫防露計算!$AC$235</c:f>
              <c:numCache>
                <c:formatCode>0.0_ ;[Red]\-0.0\ </c:formatCode>
                <c:ptCount val="1"/>
                <c:pt idx="0">
                  <c:v>0</c:v>
                </c:pt>
              </c:numCache>
            </c:numRef>
          </c:val>
          <c:extLst>
            <c:ext xmlns:c16="http://schemas.microsoft.com/office/drawing/2014/chart" uri="{C3380CC4-5D6E-409C-BE32-E72D297353CC}">
              <c16:uniqueId val="{00000009-00C1-4BEB-BD97-142AD162187C}"/>
            </c:ext>
          </c:extLst>
        </c:ser>
        <c:ser>
          <c:idx val="10"/>
          <c:order val="10"/>
          <c:spPr>
            <a:solidFill>
              <a:srgbClr val="C0C0C0"/>
            </a:solidFill>
            <a:ln w="3175">
              <a:solidFill>
                <a:srgbClr val="000000"/>
              </a:solidFill>
              <a:prstDash val="solid"/>
            </a:ln>
          </c:spPr>
          <c:invertIfNegative val="0"/>
          <c:val>
            <c:numRef>
              <c:f>⑫防露計算!$AC$236</c:f>
              <c:numCache>
                <c:formatCode>0.0_ ;[Red]\-0.0\ </c:formatCode>
                <c:ptCount val="1"/>
                <c:pt idx="0">
                  <c:v>0</c:v>
                </c:pt>
              </c:numCache>
            </c:numRef>
          </c:val>
          <c:extLst>
            <c:ext xmlns:c16="http://schemas.microsoft.com/office/drawing/2014/chart" uri="{C3380CC4-5D6E-409C-BE32-E72D297353CC}">
              <c16:uniqueId val="{0000000A-00C1-4BEB-BD97-142AD162187C}"/>
            </c:ext>
          </c:extLst>
        </c:ser>
        <c:ser>
          <c:idx val="11"/>
          <c:order val="11"/>
          <c:spPr>
            <a:solidFill>
              <a:srgbClr val="B2B2B2"/>
            </a:solidFill>
            <a:ln w="3175">
              <a:solidFill>
                <a:srgbClr val="000000"/>
              </a:solidFill>
              <a:prstDash val="solid"/>
            </a:ln>
          </c:spPr>
          <c:invertIfNegative val="0"/>
          <c:val>
            <c:numRef>
              <c:f>⑫防露計算!$AC$237</c:f>
              <c:numCache>
                <c:formatCode>0.0_ ;[Red]\-0.0\ </c:formatCode>
                <c:ptCount val="1"/>
                <c:pt idx="0">
                  <c:v>0</c:v>
                </c:pt>
              </c:numCache>
            </c:numRef>
          </c:val>
          <c:extLst>
            <c:ext xmlns:c16="http://schemas.microsoft.com/office/drawing/2014/chart" uri="{C3380CC4-5D6E-409C-BE32-E72D297353CC}">
              <c16:uniqueId val="{0000000B-00C1-4BEB-BD97-142AD162187C}"/>
            </c:ext>
          </c:extLst>
        </c:ser>
        <c:ser>
          <c:idx val="12"/>
          <c:order val="12"/>
          <c:spPr>
            <a:solidFill>
              <a:srgbClr val="808080"/>
            </a:solidFill>
            <a:ln w="12700">
              <a:solidFill>
                <a:srgbClr val="000000"/>
              </a:solidFill>
              <a:prstDash val="solid"/>
            </a:ln>
          </c:spPr>
          <c:invertIfNegative val="0"/>
          <c:dPt>
            <c:idx val="0"/>
            <c:invertIfNegative val="0"/>
            <c:bubble3D val="0"/>
            <c:spPr>
              <a:solidFill>
                <a:srgbClr val="808080"/>
              </a:solidFill>
              <a:ln w="3175">
                <a:solidFill>
                  <a:srgbClr val="000000"/>
                </a:solidFill>
                <a:prstDash val="solid"/>
              </a:ln>
            </c:spPr>
            <c:extLst>
              <c:ext xmlns:c16="http://schemas.microsoft.com/office/drawing/2014/chart" uri="{C3380CC4-5D6E-409C-BE32-E72D297353CC}">
                <c16:uniqueId val="{0000000D-00C1-4BEB-BD97-142AD162187C}"/>
              </c:ext>
            </c:extLst>
          </c:dPt>
          <c:val>
            <c:numRef>
              <c:f>⑫防露計算!$AC$238</c:f>
              <c:numCache>
                <c:formatCode>0.0_ ;[Red]\-0.0\ </c:formatCode>
                <c:ptCount val="1"/>
                <c:pt idx="0">
                  <c:v>0</c:v>
                </c:pt>
              </c:numCache>
            </c:numRef>
          </c:val>
          <c:extLst>
            <c:ext xmlns:c16="http://schemas.microsoft.com/office/drawing/2014/chart" uri="{C3380CC4-5D6E-409C-BE32-E72D297353CC}">
              <c16:uniqueId val="{0000000E-00C1-4BEB-BD97-142AD162187C}"/>
            </c:ext>
          </c:extLst>
        </c:ser>
        <c:ser>
          <c:idx val="13"/>
          <c:order val="13"/>
          <c:spPr>
            <a:noFill/>
            <a:ln w="25400">
              <a:noFill/>
            </a:ln>
          </c:spPr>
          <c:invertIfNegative val="0"/>
          <c:dPt>
            <c:idx val="0"/>
            <c:invertIfNegative val="0"/>
            <c:bubble3D val="0"/>
            <c:spPr>
              <a:noFill/>
              <a:ln w="25400">
                <a:solidFill>
                  <a:schemeClr val="bg1">
                    <a:lumMod val="50000"/>
                  </a:schemeClr>
                </a:solidFill>
                <a:prstDash val="sysDash"/>
              </a:ln>
            </c:spPr>
            <c:extLst>
              <c:ext xmlns:c16="http://schemas.microsoft.com/office/drawing/2014/chart" uri="{C3380CC4-5D6E-409C-BE32-E72D297353CC}">
                <c16:uniqueId val="{00000010-00C1-4BEB-BD97-142AD162187C}"/>
              </c:ext>
            </c:extLst>
          </c:dPt>
          <c:val>
            <c:numRef>
              <c:f>⑫防露計算!$AC$239</c:f>
              <c:numCache>
                <c:formatCode>0.0_ ;[Red]\-0.0\ </c:formatCode>
                <c:ptCount val="1"/>
                <c:pt idx="0">
                  <c:v>18</c:v>
                </c:pt>
              </c:numCache>
            </c:numRef>
          </c:val>
          <c:extLst>
            <c:ext xmlns:c16="http://schemas.microsoft.com/office/drawing/2014/chart" uri="{C3380CC4-5D6E-409C-BE32-E72D297353CC}">
              <c16:uniqueId val="{00000011-00C1-4BEB-BD97-142AD162187C}"/>
            </c:ext>
          </c:extLst>
        </c:ser>
        <c:ser>
          <c:idx val="14"/>
          <c:order val="14"/>
          <c:spPr>
            <a:noFill/>
            <a:ln w="25400">
              <a:noFill/>
            </a:ln>
          </c:spPr>
          <c:invertIfNegative val="0"/>
          <c:val>
            <c:numRef>
              <c:f>⑫防露計算!$AC$240</c:f>
              <c:numCache>
                <c:formatCode>General</c:formatCode>
                <c:ptCount val="1"/>
                <c:pt idx="0">
                  <c:v>50</c:v>
                </c:pt>
              </c:numCache>
            </c:numRef>
          </c:val>
          <c:extLst>
            <c:ext xmlns:c16="http://schemas.microsoft.com/office/drawing/2014/chart" uri="{C3380CC4-5D6E-409C-BE32-E72D297353CC}">
              <c16:uniqueId val="{00000012-00C1-4BEB-BD97-142AD162187C}"/>
            </c:ext>
          </c:extLst>
        </c:ser>
        <c:dLbls>
          <c:showLegendKey val="0"/>
          <c:showVal val="0"/>
          <c:showCatName val="0"/>
          <c:showSerName val="0"/>
          <c:showPercent val="0"/>
          <c:showBubbleSize val="0"/>
        </c:dLbls>
        <c:gapWidth val="0"/>
        <c:overlap val="100"/>
        <c:axId val="544725896"/>
        <c:axId val="544045976"/>
      </c:barChart>
      <c:catAx>
        <c:axId val="544725896"/>
        <c:scaling>
          <c:orientation val="minMax"/>
        </c:scaling>
        <c:delete val="1"/>
        <c:axPos val="l"/>
        <c:majorTickMark val="out"/>
        <c:minorTickMark val="none"/>
        <c:tickLblPos val="none"/>
        <c:crossAx val="544045976"/>
        <c:crosses val="autoZero"/>
        <c:auto val="1"/>
        <c:lblAlgn val="ctr"/>
        <c:lblOffset val="100"/>
        <c:noMultiLvlLbl val="0"/>
      </c:catAx>
      <c:valAx>
        <c:axId val="544045976"/>
        <c:scaling>
          <c:orientation val="minMax"/>
        </c:scaling>
        <c:delete val="1"/>
        <c:axPos val="b"/>
        <c:majorGridlines>
          <c:spPr>
            <a:ln w="3175">
              <a:solidFill>
                <a:srgbClr val="FFFFFF"/>
              </a:solidFill>
              <a:prstDash val="solid"/>
            </a:ln>
          </c:spPr>
        </c:majorGridlines>
        <c:numFmt formatCode="General" sourceLinked="1"/>
        <c:majorTickMark val="out"/>
        <c:minorTickMark val="none"/>
        <c:tickLblPos val="none"/>
        <c:crossAx val="544725896"/>
        <c:crosses val="autoZero"/>
        <c:crossBetween val="between"/>
      </c:valAx>
      <c:spPr>
        <a:solidFill>
          <a:srgbClr val="F3F1ED"/>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67" r="0.75000000000000167"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50098231827599E-2"/>
          <c:y val="4.6980314960629925E-2"/>
          <c:w val="0.91159135559921411"/>
          <c:h val="0.87558967629046369"/>
        </c:manualLayout>
      </c:layout>
      <c:scatterChart>
        <c:scatterStyle val="lineMarker"/>
        <c:varyColors val="0"/>
        <c:ser>
          <c:idx val="0"/>
          <c:order val="0"/>
          <c:tx>
            <c:strRef>
              <c:f>⑫防露計算!$AE$3</c:f>
              <c:strCache>
                <c:ptCount val="1"/>
                <c:pt idx="0">
                  <c:v>境界面温度</c:v>
                </c:pt>
              </c:strCache>
            </c:strRef>
          </c:tx>
          <c:spPr>
            <a:ln w="25400">
              <a:solidFill>
                <a:srgbClr val="A50021"/>
              </a:solidFill>
              <a:prstDash val="solid"/>
            </a:ln>
          </c:spPr>
          <c:marker>
            <c:symbol val="circle"/>
            <c:size val="5"/>
            <c:spPr>
              <a:solidFill>
                <a:srgbClr val="A50021"/>
              </a:solidFill>
              <a:ln w="9525">
                <a:noFill/>
              </a:ln>
            </c:spPr>
          </c:marker>
          <c:dLbls>
            <c:dLbl>
              <c:idx val="0"/>
              <c:layout>
                <c:manualLayout>
                  <c:x val="-5.8458508010663622E-3"/>
                  <c:y val="-4.1770249781965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6B-4BE5-8E4B-82CF090C8095}"/>
                </c:ext>
              </c:extLst>
            </c:dLbl>
            <c:numFmt formatCode="0.0\ &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⑫防露計算!$AD$48:$AD$64</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⑫防露計算!$AE$48:$AE$64</c:f>
              <c:numCache>
                <c:formatCode>#,##0.00_ ;[Red]\-#,##0.00\ </c:formatCode>
                <c:ptCount val="17"/>
                <c:pt idx="0">
                  <c:v>15</c:v>
                </c:pt>
                <c:pt idx="1">
                  <c:v>15</c:v>
                </c:pt>
                <c:pt idx="2">
                  <c:v>9.3000000000000007</c:v>
                </c:pt>
                <c:pt idx="3">
                  <c:v>9.3000000000000007</c:v>
                </c:pt>
                <c:pt idx="4">
                  <c:v>9.3000000000000007</c:v>
                </c:pt>
                <c:pt idx="5">
                  <c:v>9.3000000000000007</c:v>
                </c:pt>
                <c:pt idx="6">
                  <c:v>9.3000000000000007</c:v>
                </c:pt>
                <c:pt idx="7">
                  <c:v>9.3000000000000007</c:v>
                </c:pt>
                <c:pt idx="8">
                  <c:v>9.3000000000000007</c:v>
                </c:pt>
                <c:pt idx="9">
                  <c:v>9.3000000000000007</c:v>
                </c:pt>
                <c:pt idx="10">
                  <c:v>9.3000000000000007</c:v>
                </c:pt>
                <c:pt idx="11">
                  <c:v>9.3000000000000007</c:v>
                </c:pt>
                <c:pt idx="12">
                  <c:v>9.3000000000000007</c:v>
                </c:pt>
                <c:pt idx="13">
                  <c:v>9.3000000000000007</c:v>
                </c:pt>
                <c:pt idx="14">
                  <c:v>9.3000000000000007</c:v>
                </c:pt>
                <c:pt idx="15">
                  <c:v>3.6</c:v>
                </c:pt>
                <c:pt idx="16">
                  <c:v>3.6</c:v>
                </c:pt>
              </c:numCache>
            </c:numRef>
          </c:yVal>
          <c:smooth val="0"/>
          <c:extLst>
            <c:ext xmlns:c16="http://schemas.microsoft.com/office/drawing/2014/chart" uri="{C3380CC4-5D6E-409C-BE32-E72D297353CC}">
              <c16:uniqueId val="{00000001-FB6B-4BE5-8E4B-82CF090C8095}"/>
            </c:ext>
          </c:extLst>
        </c:ser>
        <c:ser>
          <c:idx val="1"/>
          <c:order val="1"/>
          <c:tx>
            <c:strRef>
              <c:f>⑫防露計算!$AF$3</c:f>
              <c:strCache>
                <c:ptCount val="1"/>
                <c:pt idx="0">
                  <c:v>露点温度</c:v>
                </c:pt>
              </c:strCache>
            </c:strRef>
          </c:tx>
          <c:spPr>
            <a:ln w="25400">
              <a:solidFill>
                <a:srgbClr val="543D95"/>
              </a:solidFill>
              <a:prstDash val="solid"/>
            </a:ln>
          </c:spPr>
          <c:marker>
            <c:symbol val="circle"/>
            <c:size val="5"/>
            <c:spPr>
              <a:solidFill>
                <a:srgbClr val="543D95"/>
              </a:solidFill>
              <a:ln w="9525">
                <a:noFill/>
              </a:ln>
            </c:spPr>
          </c:marker>
          <c:dLbls>
            <c:dLbl>
              <c:idx val="0"/>
              <c:layout>
                <c:manualLayout>
                  <c:x val="-5.8458508010663822E-3"/>
                  <c:y val="-4.1452170955767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6B-4BE5-8E4B-82CF090C8095}"/>
                </c:ext>
              </c:extLst>
            </c:dLbl>
            <c:numFmt formatCode="0.0\ &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⑫防露計算!$AD$48:$AD$64</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⑫防露計算!$AF$48:$AF$64</c:f>
              <c:numCache>
                <c:formatCode>#,##0.00_ ;[Red]\-#,##0.00\ </c:formatCode>
                <c:ptCount val="17"/>
                <c:pt idx="0">
                  <c:v>7.3061185391618908</c:v>
                </c:pt>
                <c:pt idx="1">
                  <c:v>7.3061185391618908</c:v>
                </c:pt>
                <c:pt idx="2">
                  <c:v>7.1525963981427259</c:v>
                </c:pt>
                <c:pt idx="3">
                  <c:v>7.1525963981427259</c:v>
                </c:pt>
                <c:pt idx="4">
                  <c:v>7.1525963981427259</c:v>
                </c:pt>
                <c:pt idx="5">
                  <c:v>7.1525963981427259</c:v>
                </c:pt>
                <c:pt idx="6">
                  <c:v>7.1525963981427259</c:v>
                </c:pt>
                <c:pt idx="7">
                  <c:v>7.1525963981427259</c:v>
                </c:pt>
                <c:pt idx="8">
                  <c:v>7.1525963981427259</c:v>
                </c:pt>
                <c:pt idx="9">
                  <c:v>7.1525963981427259</c:v>
                </c:pt>
                <c:pt idx="10">
                  <c:v>7.1525963981427259</c:v>
                </c:pt>
                <c:pt idx="11">
                  <c:v>7.1525963981427259</c:v>
                </c:pt>
                <c:pt idx="12">
                  <c:v>7.1525963981427259</c:v>
                </c:pt>
                <c:pt idx="13">
                  <c:v>7.1525963981427259</c:v>
                </c:pt>
                <c:pt idx="14">
                  <c:v>7.1525963981427259</c:v>
                </c:pt>
                <c:pt idx="15">
                  <c:v>-1.3468270695015434</c:v>
                </c:pt>
                <c:pt idx="16">
                  <c:v>-1.3468270695015434</c:v>
                </c:pt>
              </c:numCache>
            </c:numRef>
          </c:yVal>
          <c:smooth val="0"/>
          <c:extLst>
            <c:ext xmlns:c16="http://schemas.microsoft.com/office/drawing/2014/chart" uri="{C3380CC4-5D6E-409C-BE32-E72D297353CC}">
              <c16:uniqueId val="{00000003-FB6B-4BE5-8E4B-82CF090C8095}"/>
            </c:ext>
          </c:extLst>
        </c:ser>
        <c:dLbls>
          <c:showLegendKey val="0"/>
          <c:showVal val="0"/>
          <c:showCatName val="0"/>
          <c:showSerName val="0"/>
          <c:showPercent val="0"/>
          <c:showBubbleSize val="0"/>
        </c:dLbls>
        <c:axId val="544045584"/>
        <c:axId val="544046368"/>
      </c:scatterChart>
      <c:valAx>
        <c:axId val="544045584"/>
        <c:scaling>
          <c:orientation val="minMax"/>
        </c:scaling>
        <c:delete val="1"/>
        <c:axPos val="b"/>
        <c:numFmt formatCode="#,##0.00_ ;[Red]\-#,##0.00\ " sourceLinked="1"/>
        <c:majorTickMark val="out"/>
        <c:minorTickMark val="none"/>
        <c:tickLblPos val="none"/>
        <c:crossAx val="544046368"/>
        <c:crosses val="autoZero"/>
        <c:crossBetween val="midCat"/>
      </c:valAx>
      <c:valAx>
        <c:axId val="544046368"/>
        <c:scaling>
          <c:orientation val="minMax"/>
        </c:scaling>
        <c:delete val="0"/>
        <c:axPos val="l"/>
        <c:majorGridlines>
          <c:spPr>
            <a:ln w="3175">
              <a:solidFill>
                <a:srgbClr val="000000"/>
              </a:solidFill>
              <a:prstDash val="solid"/>
            </a:ln>
          </c:spPr>
        </c:majorGridlines>
        <c:numFmt formatCode="0\ &quot;℃&quot;" sourceLinked="0"/>
        <c:majorTickMark val="in"/>
        <c:minorTickMark val="none"/>
        <c:tickLblPos val="nextTo"/>
        <c:spPr>
          <a:ln w="3175">
            <a:solidFill>
              <a:srgbClr val="000000"/>
            </a:solidFill>
            <a:prstDash val="solid"/>
          </a:ln>
        </c:spPr>
        <c:txPr>
          <a:bodyPr rot="0" vert="horz"/>
          <a:lstStyle/>
          <a:p>
            <a:pPr>
              <a:defRPr/>
            </a:pPr>
            <a:endParaRPr lang="ja-JP"/>
          </a:p>
        </c:txPr>
        <c:crossAx val="544045584"/>
        <c:crosses val="autoZero"/>
        <c:crossBetween val="midCat"/>
      </c:valAx>
      <c:spPr>
        <a:noFill/>
        <a:ln w="25400">
          <a:noFill/>
        </a:ln>
      </c:spPr>
    </c:plotArea>
    <c:legend>
      <c:legendPos val="r"/>
      <c:layout>
        <c:manualLayout>
          <c:xMode val="edge"/>
          <c:yMode val="edge"/>
          <c:x val="0.6313626657435103"/>
          <c:y val="0.93333333333333335"/>
          <c:w val="0.36666666666666703"/>
          <c:h val="6.6666666666666763E-2"/>
        </c:manualLayout>
      </c:layout>
      <c:overlay val="0"/>
      <c:spPr>
        <a:solidFill>
          <a:srgbClr val="FFFFFF"/>
        </a:solid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BIZ UDPゴシック" panose="020B0400000000000000" pitchFamily="50" charset="-128"/>
          <a:ea typeface="BIZ UDPゴシック" panose="020B0400000000000000" pitchFamily="50" charset="-128"/>
          <a:cs typeface="ＭＳ Ｐゴシック"/>
        </a:defRPr>
      </a:pPr>
      <a:endParaRPr lang="ja-JP"/>
    </a:p>
  </c:txPr>
  <c:printSettings>
    <c:headerFooter alignWithMargins="0"/>
    <c:pageMargins b="1" l="0.75000000000000167" r="0.75000000000000167" t="1" header="0.51200000000000001" footer="0.51200000000000001"/>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50023158869846E-2"/>
          <c:y val="5.2535870516185475E-2"/>
          <c:w val="0.91159135559921411"/>
          <c:h val="0.87558967629046369"/>
        </c:manualLayout>
      </c:layout>
      <c:scatterChart>
        <c:scatterStyle val="lineMarker"/>
        <c:varyColors val="0"/>
        <c:ser>
          <c:idx val="0"/>
          <c:order val="0"/>
          <c:tx>
            <c:strRef>
              <c:f>⑫防露計算!$AE$3</c:f>
              <c:strCache>
                <c:ptCount val="1"/>
                <c:pt idx="0">
                  <c:v>境界面温度</c:v>
                </c:pt>
              </c:strCache>
            </c:strRef>
          </c:tx>
          <c:spPr>
            <a:ln w="25400">
              <a:solidFill>
                <a:srgbClr val="A50021"/>
              </a:solidFill>
              <a:prstDash val="solid"/>
            </a:ln>
          </c:spPr>
          <c:marker>
            <c:symbol val="circle"/>
            <c:size val="5"/>
            <c:spPr>
              <a:solidFill>
                <a:srgbClr val="A50021"/>
              </a:solidFill>
              <a:ln w="9525">
                <a:noFill/>
              </a:ln>
            </c:spPr>
          </c:marker>
          <c:dLbls>
            <c:dLbl>
              <c:idx val="0"/>
              <c:layout>
                <c:manualLayout>
                  <c:x val="-5.8458508010663622E-3"/>
                  <c:y val="-4.1770249781965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0E-483A-A465-AED0B1A4E7EF}"/>
                </c:ext>
              </c:extLst>
            </c:dLbl>
            <c:numFmt formatCode="0.0\ &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⑫防露計算!$AD$92:$AD$108</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⑫防露計算!$AE$92:$AE$108</c:f>
              <c:numCache>
                <c:formatCode>#,##0.00_ ;[Red]\-#,##0.00\ </c:formatCode>
                <c:ptCount val="17"/>
                <c:pt idx="0">
                  <c:v>15</c:v>
                </c:pt>
                <c:pt idx="1">
                  <c:v>15</c:v>
                </c:pt>
                <c:pt idx="2">
                  <c:v>9.3000000000000007</c:v>
                </c:pt>
                <c:pt idx="3">
                  <c:v>9.3000000000000007</c:v>
                </c:pt>
                <c:pt idx="4">
                  <c:v>9.3000000000000007</c:v>
                </c:pt>
                <c:pt idx="5">
                  <c:v>9.3000000000000007</c:v>
                </c:pt>
                <c:pt idx="6">
                  <c:v>9.3000000000000007</c:v>
                </c:pt>
                <c:pt idx="7">
                  <c:v>9.3000000000000007</c:v>
                </c:pt>
                <c:pt idx="8">
                  <c:v>9.3000000000000007</c:v>
                </c:pt>
                <c:pt idx="9">
                  <c:v>9.3000000000000007</c:v>
                </c:pt>
                <c:pt idx="10">
                  <c:v>9.3000000000000007</c:v>
                </c:pt>
                <c:pt idx="11">
                  <c:v>9.3000000000000007</c:v>
                </c:pt>
                <c:pt idx="12">
                  <c:v>9.3000000000000007</c:v>
                </c:pt>
                <c:pt idx="13">
                  <c:v>9.3000000000000007</c:v>
                </c:pt>
                <c:pt idx="14">
                  <c:v>9.3000000000000007</c:v>
                </c:pt>
                <c:pt idx="15">
                  <c:v>3.6</c:v>
                </c:pt>
                <c:pt idx="16">
                  <c:v>3.6</c:v>
                </c:pt>
              </c:numCache>
            </c:numRef>
          </c:yVal>
          <c:smooth val="0"/>
          <c:extLst>
            <c:ext xmlns:c16="http://schemas.microsoft.com/office/drawing/2014/chart" uri="{C3380CC4-5D6E-409C-BE32-E72D297353CC}">
              <c16:uniqueId val="{00000001-640E-483A-A465-AED0B1A4E7EF}"/>
            </c:ext>
          </c:extLst>
        </c:ser>
        <c:ser>
          <c:idx val="1"/>
          <c:order val="1"/>
          <c:tx>
            <c:strRef>
              <c:f>⑫防露計算!$AF$3</c:f>
              <c:strCache>
                <c:ptCount val="1"/>
                <c:pt idx="0">
                  <c:v>露点温度</c:v>
                </c:pt>
              </c:strCache>
            </c:strRef>
          </c:tx>
          <c:spPr>
            <a:ln w="25400">
              <a:solidFill>
                <a:srgbClr val="543D95"/>
              </a:solidFill>
              <a:prstDash val="solid"/>
            </a:ln>
          </c:spPr>
          <c:marker>
            <c:symbol val="circle"/>
            <c:size val="5"/>
            <c:spPr>
              <a:solidFill>
                <a:srgbClr val="543D95"/>
              </a:solidFill>
              <a:ln w="9525">
                <a:noFill/>
              </a:ln>
            </c:spPr>
          </c:marker>
          <c:dLbls>
            <c:dLbl>
              <c:idx val="0"/>
              <c:layout>
                <c:manualLayout>
                  <c:x val="-5.8458508010663822E-3"/>
                  <c:y val="-4.1452170955767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0E-483A-A465-AED0B1A4E7EF}"/>
                </c:ext>
              </c:extLst>
            </c:dLbl>
            <c:numFmt formatCode="0.0\ &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⑫防露計算!$AD$92:$AD$108</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⑫防露計算!$AF$92:$AF$108</c:f>
              <c:numCache>
                <c:formatCode>#,##0.00_ ;[Red]\-#,##0.00\ </c:formatCode>
                <c:ptCount val="17"/>
                <c:pt idx="0">
                  <c:v>7.3061185391618908</c:v>
                </c:pt>
                <c:pt idx="1">
                  <c:v>7.3061185391618908</c:v>
                </c:pt>
                <c:pt idx="2">
                  <c:v>7.1525963981427259</c:v>
                </c:pt>
                <c:pt idx="3">
                  <c:v>7.1525963981427259</c:v>
                </c:pt>
                <c:pt idx="4">
                  <c:v>7.1525963981427259</c:v>
                </c:pt>
                <c:pt idx="5">
                  <c:v>7.1525963981427259</c:v>
                </c:pt>
                <c:pt idx="6">
                  <c:v>7.1525963981427259</c:v>
                </c:pt>
                <c:pt idx="7">
                  <c:v>7.1525963981427259</c:v>
                </c:pt>
                <c:pt idx="8">
                  <c:v>7.1525963981427259</c:v>
                </c:pt>
                <c:pt idx="9">
                  <c:v>7.1525963981427259</c:v>
                </c:pt>
                <c:pt idx="10">
                  <c:v>7.1525963981427259</c:v>
                </c:pt>
                <c:pt idx="11">
                  <c:v>7.1525963981427259</c:v>
                </c:pt>
                <c:pt idx="12">
                  <c:v>7.1525963981427259</c:v>
                </c:pt>
                <c:pt idx="13">
                  <c:v>7.1525963981427259</c:v>
                </c:pt>
                <c:pt idx="14">
                  <c:v>7.1525963981427259</c:v>
                </c:pt>
                <c:pt idx="15">
                  <c:v>-1.3468270695015434</c:v>
                </c:pt>
                <c:pt idx="16">
                  <c:v>-1.3468270695015434</c:v>
                </c:pt>
              </c:numCache>
            </c:numRef>
          </c:yVal>
          <c:smooth val="0"/>
          <c:extLst>
            <c:ext xmlns:c16="http://schemas.microsoft.com/office/drawing/2014/chart" uri="{C3380CC4-5D6E-409C-BE32-E72D297353CC}">
              <c16:uniqueId val="{00000003-640E-483A-A465-AED0B1A4E7EF}"/>
            </c:ext>
          </c:extLst>
        </c:ser>
        <c:dLbls>
          <c:showLegendKey val="0"/>
          <c:showVal val="0"/>
          <c:showCatName val="0"/>
          <c:showSerName val="0"/>
          <c:showPercent val="0"/>
          <c:showBubbleSize val="0"/>
        </c:dLbls>
        <c:axId val="544045584"/>
        <c:axId val="544046368"/>
      </c:scatterChart>
      <c:valAx>
        <c:axId val="544045584"/>
        <c:scaling>
          <c:orientation val="minMax"/>
        </c:scaling>
        <c:delete val="1"/>
        <c:axPos val="b"/>
        <c:numFmt formatCode="#,##0.00_ ;[Red]\-#,##0.00\ " sourceLinked="1"/>
        <c:majorTickMark val="out"/>
        <c:minorTickMark val="none"/>
        <c:tickLblPos val="none"/>
        <c:crossAx val="544046368"/>
        <c:crosses val="autoZero"/>
        <c:crossBetween val="midCat"/>
      </c:valAx>
      <c:valAx>
        <c:axId val="544046368"/>
        <c:scaling>
          <c:orientation val="minMax"/>
        </c:scaling>
        <c:delete val="0"/>
        <c:axPos val="l"/>
        <c:majorGridlines>
          <c:spPr>
            <a:ln w="3175">
              <a:solidFill>
                <a:srgbClr val="000000"/>
              </a:solidFill>
              <a:prstDash val="solid"/>
            </a:ln>
          </c:spPr>
        </c:majorGridlines>
        <c:numFmt formatCode="0\ &quot;℃&quot;" sourceLinked="0"/>
        <c:majorTickMark val="in"/>
        <c:minorTickMark val="none"/>
        <c:tickLblPos val="nextTo"/>
        <c:spPr>
          <a:ln w="3175">
            <a:solidFill>
              <a:srgbClr val="000000"/>
            </a:solidFill>
            <a:prstDash val="solid"/>
          </a:ln>
        </c:spPr>
        <c:txPr>
          <a:bodyPr rot="0" vert="horz"/>
          <a:lstStyle/>
          <a:p>
            <a:pPr>
              <a:defRPr/>
            </a:pPr>
            <a:endParaRPr lang="ja-JP"/>
          </a:p>
        </c:txPr>
        <c:crossAx val="544045584"/>
        <c:crosses val="autoZero"/>
        <c:crossBetween val="midCat"/>
      </c:valAx>
      <c:spPr>
        <a:noFill/>
        <a:ln w="25400">
          <a:noFill/>
        </a:ln>
      </c:spPr>
    </c:plotArea>
    <c:legend>
      <c:legendPos val="r"/>
      <c:layout>
        <c:manualLayout>
          <c:xMode val="edge"/>
          <c:yMode val="edge"/>
          <c:x val="0.6313626657435103"/>
          <c:y val="0.93333333333333335"/>
          <c:w val="0.36666666666666703"/>
          <c:h val="6.6666666666666763E-2"/>
        </c:manualLayout>
      </c:layout>
      <c:overlay val="0"/>
      <c:spPr>
        <a:solidFill>
          <a:srgbClr val="FFFFFF"/>
        </a:solid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BIZ UDPゴシック" panose="020B0400000000000000" pitchFamily="50" charset="-128"/>
          <a:ea typeface="BIZ UDPゴシック" panose="020B0400000000000000" pitchFamily="50" charset="-128"/>
          <a:cs typeface="ＭＳ Ｐゴシック"/>
        </a:defRPr>
      </a:pPr>
      <a:endParaRPr lang="ja-JP"/>
    </a:p>
  </c:txPr>
  <c:printSettings>
    <c:headerFooter alignWithMargins="0"/>
    <c:pageMargins b="1" l="0.75000000000000167" r="0.75000000000000167" t="1" header="0.51200000000000001" footer="0.51200000000000001"/>
    <c:pageSetup paperSize="9" orientation="landscape" horizontalDpi="1200" verticalDpi="1200"/>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0</xdr:colOff>
      <xdr:row>33</xdr:row>
      <xdr:rowOff>0</xdr:rowOff>
    </xdr:from>
    <xdr:to>
      <xdr:col>15</xdr:col>
      <xdr:colOff>0</xdr:colOff>
      <xdr:row>45</xdr:row>
      <xdr:rowOff>0</xdr:rowOff>
    </xdr:to>
    <xdr:graphicFrame macro="">
      <xdr:nvGraphicFramePr>
        <xdr:cNvPr id="10177628" name="Chart 11">
          <a:extLst>
            <a:ext uri="{FF2B5EF4-FFF2-40B4-BE49-F238E27FC236}">
              <a16:creationId xmlns:a16="http://schemas.microsoft.com/office/drawing/2014/main" id="{00000000-0008-0000-0B00-00005C4C9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33</xdr:row>
      <xdr:rowOff>0</xdr:rowOff>
    </xdr:from>
    <xdr:to>
      <xdr:col>15</xdr:col>
      <xdr:colOff>0</xdr:colOff>
      <xdr:row>45</xdr:row>
      <xdr:rowOff>0</xdr:rowOff>
    </xdr:to>
    <xdr:graphicFrame macro="">
      <xdr:nvGraphicFramePr>
        <xdr:cNvPr id="10177629" name="Chart 16">
          <a:extLst>
            <a:ext uri="{FF2B5EF4-FFF2-40B4-BE49-F238E27FC236}">
              <a16:creationId xmlns:a16="http://schemas.microsoft.com/office/drawing/2014/main" id="{00000000-0008-0000-0B00-00005D4C9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77</xdr:row>
      <xdr:rowOff>0</xdr:rowOff>
    </xdr:from>
    <xdr:to>
      <xdr:col>15</xdr:col>
      <xdr:colOff>0</xdr:colOff>
      <xdr:row>89</xdr:row>
      <xdr:rowOff>0</xdr:rowOff>
    </xdr:to>
    <xdr:graphicFrame macro="">
      <xdr:nvGraphicFramePr>
        <xdr:cNvPr id="14" name="Chart 11">
          <a:extLst>
            <a:ext uri="{FF2B5EF4-FFF2-40B4-BE49-F238E27FC236}">
              <a16:creationId xmlns:a16="http://schemas.microsoft.com/office/drawing/2014/main" id="{B618D8C1-3BB9-400D-ABD1-94E86E2118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121</xdr:row>
      <xdr:rowOff>0</xdr:rowOff>
    </xdr:from>
    <xdr:to>
      <xdr:col>15</xdr:col>
      <xdr:colOff>0</xdr:colOff>
      <xdr:row>133</xdr:row>
      <xdr:rowOff>0</xdr:rowOff>
    </xdr:to>
    <xdr:graphicFrame macro="">
      <xdr:nvGraphicFramePr>
        <xdr:cNvPr id="15" name="Chart 11">
          <a:extLst>
            <a:ext uri="{FF2B5EF4-FFF2-40B4-BE49-F238E27FC236}">
              <a16:creationId xmlns:a16="http://schemas.microsoft.com/office/drawing/2014/main" id="{59474394-2E51-48FA-A613-F7ABBFFFCD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165</xdr:row>
      <xdr:rowOff>0</xdr:rowOff>
    </xdr:from>
    <xdr:to>
      <xdr:col>15</xdr:col>
      <xdr:colOff>0</xdr:colOff>
      <xdr:row>177</xdr:row>
      <xdr:rowOff>0</xdr:rowOff>
    </xdr:to>
    <xdr:graphicFrame macro="">
      <xdr:nvGraphicFramePr>
        <xdr:cNvPr id="16" name="Chart 11">
          <a:extLst>
            <a:ext uri="{FF2B5EF4-FFF2-40B4-BE49-F238E27FC236}">
              <a16:creationId xmlns:a16="http://schemas.microsoft.com/office/drawing/2014/main" id="{883B19FF-0108-4F55-BFF4-9293B9C42C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209</xdr:row>
      <xdr:rowOff>0</xdr:rowOff>
    </xdr:from>
    <xdr:to>
      <xdr:col>15</xdr:col>
      <xdr:colOff>0</xdr:colOff>
      <xdr:row>221</xdr:row>
      <xdr:rowOff>0</xdr:rowOff>
    </xdr:to>
    <xdr:graphicFrame macro="">
      <xdr:nvGraphicFramePr>
        <xdr:cNvPr id="17" name="Chart 11">
          <a:extLst>
            <a:ext uri="{FF2B5EF4-FFF2-40B4-BE49-F238E27FC236}">
              <a16:creationId xmlns:a16="http://schemas.microsoft.com/office/drawing/2014/main" id="{F2CE5460-47DA-4ECE-8ADE-ABF874FFA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253</xdr:row>
      <xdr:rowOff>0</xdr:rowOff>
    </xdr:from>
    <xdr:to>
      <xdr:col>15</xdr:col>
      <xdr:colOff>0</xdr:colOff>
      <xdr:row>265</xdr:row>
      <xdr:rowOff>0</xdr:rowOff>
    </xdr:to>
    <xdr:graphicFrame macro="">
      <xdr:nvGraphicFramePr>
        <xdr:cNvPr id="18" name="Chart 11">
          <a:extLst>
            <a:ext uri="{FF2B5EF4-FFF2-40B4-BE49-F238E27FC236}">
              <a16:creationId xmlns:a16="http://schemas.microsoft.com/office/drawing/2014/main" id="{96367DDF-2202-4B90-AC44-1E5ACC35BB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77</xdr:row>
      <xdr:rowOff>0</xdr:rowOff>
    </xdr:from>
    <xdr:to>
      <xdr:col>15</xdr:col>
      <xdr:colOff>0</xdr:colOff>
      <xdr:row>89</xdr:row>
      <xdr:rowOff>0</xdr:rowOff>
    </xdr:to>
    <xdr:graphicFrame macro="">
      <xdr:nvGraphicFramePr>
        <xdr:cNvPr id="19" name="Chart 16">
          <a:extLst>
            <a:ext uri="{FF2B5EF4-FFF2-40B4-BE49-F238E27FC236}">
              <a16:creationId xmlns:a16="http://schemas.microsoft.com/office/drawing/2014/main" id="{ADEB00DC-F067-445A-84C8-01BD8B89F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121</xdr:row>
      <xdr:rowOff>0</xdr:rowOff>
    </xdr:from>
    <xdr:to>
      <xdr:col>15</xdr:col>
      <xdr:colOff>0</xdr:colOff>
      <xdr:row>133</xdr:row>
      <xdr:rowOff>0</xdr:rowOff>
    </xdr:to>
    <xdr:graphicFrame macro="">
      <xdr:nvGraphicFramePr>
        <xdr:cNvPr id="20" name="Chart 16">
          <a:extLst>
            <a:ext uri="{FF2B5EF4-FFF2-40B4-BE49-F238E27FC236}">
              <a16:creationId xmlns:a16="http://schemas.microsoft.com/office/drawing/2014/main" id="{8F0B0D4A-ECD8-48A5-8148-6DC5D23E8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165</xdr:row>
      <xdr:rowOff>0</xdr:rowOff>
    </xdr:from>
    <xdr:to>
      <xdr:col>15</xdr:col>
      <xdr:colOff>0</xdr:colOff>
      <xdr:row>177</xdr:row>
      <xdr:rowOff>0</xdr:rowOff>
    </xdr:to>
    <xdr:graphicFrame macro="">
      <xdr:nvGraphicFramePr>
        <xdr:cNvPr id="21" name="Chart 16">
          <a:extLst>
            <a:ext uri="{FF2B5EF4-FFF2-40B4-BE49-F238E27FC236}">
              <a16:creationId xmlns:a16="http://schemas.microsoft.com/office/drawing/2014/main" id="{E0DE8FA1-02D8-43AA-B880-98E156B968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209</xdr:row>
      <xdr:rowOff>0</xdr:rowOff>
    </xdr:from>
    <xdr:to>
      <xdr:col>15</xdr:col>
      <xdr:colOff>0</xdr:colOff>
      <xdr:row>221</xdr:row>
      <xdr:rowOff>0</xdr:rowOff>
    </xdr:to>
    <xdr:graphicFrame macro="">
      <xdr:nvGraphicFramePr>
        <xdr:cNvPr id="22" name="Chart 16">
          <a:extLst>
            <a:ext uri="{FF2B5EF4-FFF2-40B4-BE49-F238E27FC236}">
              <a16:creationId xmlns:a16="http://schemas.microsoft.com/office/drawing/2014/main" id="{BB53218F-B154-41D9-84DC-D06FB43B0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0</xdr:colOff>
      <xdr:row>253</xdr:row>
      <xdr:rowOff>0</xdr:rowOff>
    </xdr:from>
    <xdr:to>
      <xdr:col>15</xdr:col>
      <xdr:colOff>0</xdr:colOff>
      <xdr:row>265</xdr:row>
      <xdr:rowOff>0</xdr:rowOff>
    </xdr:to>
    <xdr:graphicFrame macro="">
      <xdr:nvGraphicFramePr>
        <xdr:cNvPr id="23" name="Chart 16">
          <a:extLst>
            <a:ext uri="{FF2B5EF4-FFF2-40B4-BE49-F238E27FC236}">
              <a16:creationId xmlns:a16="http://schemas.microsoft.com/office/drawing/2014/main" id="{8872B80B-7AB1-425B-900C-4F9DD3CDC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6"/>
        </a:lnRef>
        <a:fillRef idx="1">
          <a:schemeClr val="lt1"/>
        </a:fillRef>
        <a:effectRef idx="0">
          <a:schemeClr val="accent6"/>
        </a:effectRef>
        <a:fontRef idx="minor">
          <a:schemeClr val="dk1"/>
        </a:fontRef>
      </a:style>
    </a:spDef>
    <a:txDef>
      <a:spPr>
        <a:solidFill>
          <a:schemeClr val="lt1"/>
        </a:solidFill>
        <a:ln w="53975" cmpd="sng">
          <a:solidFill>
            <a:srgbClr val="FF0000"/>
          </a:solidFill>
          <a:prstDash val="sysDash"/>
        </a:ln>
      </a:spPr>
      <a:bodyPr vert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pageSetUpPr fitToPage="1"/>
  </sheetPr>
  <dimension ref="A1:AF265"/>
  <sheetViews>
    <sheetView tabSelected="1" view="pageBreakPreview" zoomScale="130" zoomScaleNormal="100" zoomScaleSheetLayoutView="130" workbookViewId="0">
      <selection activeCell="G15" sqref="G15:G16"/>
    </sheetView>
  </sheetViews>
  <sheetFormatPr defaultColWidth="9" defaultRowHeight="11.65" x14ac:dyDescent="0.25"/>
  <cols>
    <col min="1" max="3" width="12.59765625" style="13" customWidth="1"/>
    <col min="4" max="17" width="10.59765625" style="13" customWidth="1"/>
    <col min="18" max="18" width="5.06640625" style="13" bestFit="1" customWidth="1"/>
    <col min="19" max="19" width="10.59765625" style="13" customWidth="1"/>
    <col min="20" max="20" width="8.59765625" style="13" customWidth="1"/>
    <col min="21" max="21" width="8.59765625" style="16" customWidth="1"/>
    <col min="22" max="22" width="55.796875" style="16" customWidth="1"/>
    <col min="23" max="23" width="10.59765625" style="13" customWidth="1"/>
    <col min="24" max="24" width="8.59765625" style="13" customWidth="1"/>
    <col min="25" max="25" width="8.59765625" style="16" customWidth="1"/>
    <col min="26" max="26" width="55.796875" style="16" customWidth="1"/>
    <col min="27" max="27" width="9" style="13"/>
    <col min="28" max="29" width="9.06640625" style="13" bestFit="1" customWidth="1"/>
    <col min="30" max="30" width="9.46484375" style="16" bestFit="1" customWidth="1"/>
    <col min="31" max="32" width="9.06640625" style="16" bestFit="1" customWidth="1"/>
    <col min="33" max="16384" width="9" style="13"/>
  </cols>
  <sheetData>
    <row r="1" spans="1:32" s="614" customFormat="1" ht="18.75" customHeight="1" x14ac:dyDescent="0.25">
      <c r="A1" s="75" t="s">
        <v>744</v>
      </c>
      <c r="B1" s="611"/>
      <c r="C1" s="619"/>
      <c r="D1" s="619"/>
      <c r="E1" s="611"/>
      <c r="F1" s="620"/>
      <c r="G1" s="620"/>
      <c r="H1" s="620"/>
      <c r="I1" s="612"/>
      <c r="J1" s="620"/>
      <c r="K1" s="620"/>
      <c r="L1" s="620"/>
      <c r="M1" s="620"/>
      <c r="N1" s="612"/>
      <c r="O1" s="613"/>
      <c r="S1" s="615"/>
      <c r="T1" s="616"/>
      <c r="U1" s="616"/>
      <c r="V1" s="617"/>
      <c r="W1" s="615" t="s">
        <v>644</v>
      </c>
      <c r="X1" s="616"/>
      <c r="Y1" s="616"/>
      <c r="Z1" s="617"/>
      <c r="AD1" s="618"/>
      <c r="AE1" s="618"/>
      <c r="AF1" s="618"/>
    </row>
    <row r="2" spans="1:32" x14ac:dyDescent="0.25">
      <c r="A2" s="75" t="s">
        <v>745</v>
      </c>
      <c r="E2" s="17"/>
      <c r="F2" s="18"/>
      <c r="S2" s="322"/>
      <c r="T2" s="312"/>
      <c r="U2" s="312"/>
      <c r="V2" s="313"/>
      <c r="W2" s="357" t="s">
        <v>202</v>
      </c>
      <c r="X2" s="351">
        <v>15</v>
      </c>
      <c r="Y2" s="351">
        <v>70</v>
      </c>
      <c r="Z2" s="358" t="s">
        <v>645</v>
      </c>
    </row>
    <row r="3" spans="1:32" ht="12" customHeight="1" x14ac:dyDescent="0.25">
      <c r="A3" s="505" t="s">
        <v>188</v>
      </c>
      <c r="B3" s="551"/>
      <c r="C3" s="552"/>
      <c r="D3" s="553"/>
      <c r="E3" s="476" t="s">
        <v>276</v>
      </c>
      <c r="F3" s="477" t="s">
        <v>111</v>
      </c>
      <c r="G3" s="478" t="s">
        <v>190</v>
      </c>
      <c r="H3" s="505" t="s">
        <v>191</v>
      </c>
      <c r="I3" s="479" t="s">
        <v>192</v>
      </c>
      <c r="J3" s="517">
        <f>IF(G4="冬型結露",$T$3,26)</f>
        <v>15</v>
      </c>
      <c r="K3" s="518"/>
      <c r="L3" s="505" t="s">
        <v>193</v>
      </c>
      <c r="M3" s="479" t="s">
        <v>192</v>
      </c>
      <c r="N3" s="517">
        <f>IF(G4="夏型結露",VLOOKUP(F4,$S$16:$U$19,2,FALSE),VLOOKUP(E4,$S$5:$U$12,2,FALSE))</f>
        <v>3.6</v>
      </c>
      <c r="O3" s="518"/>
      <c r="P3" s="19"/>
      <c r="Q3" s="19"/>
      <c r="R3" s="16"/>
      <c r="S3" s="323" t="s">
        <v>202</v>
      </c>
      <c r="T3" s="324">
        <v>15</v>
      </c>
      <c r="U3" s="324">
        <v>60</v>
      </c>
      <c r="V3" s="325" t="s">
        <v>647</v>
      </c>
      <c r="W3" s="340"/>
      <c r="X3" s="336">
        <v>10</v>
      </c>
      <c r="Y3" s="336">
        <v>70</v>
      </c>
      <c r="Z3" s="359" t="s">
        <v>654</v>
      </c>
      <c r="AB3" s="16" t="s">
        <v>73</v>
      </c>
      <c r="AC3" s="16" t="s">
        <v>194</v>
      </c>
      <c r="AD3" s="16" t="s">
        <v>195</v>
      </c>
      <c r="AE3" s="16" t="s">
        <v>196</v>
      </c>
      <c r="AF3" s="16" t="s">
        <v>197</v>
      </c>
    </row>
    <row r="4" spans="1:32" ht="12" customHeight="1" x14ac:dyDescent="0.25">
      <c r="A4" s="506"/>
      <c r="B4" s="554"/>
      <c r="C4" s="555"/>
      <c r="D4" s="556"/>
      <c r="E4" s="536" t="s">
        <v>38</v>
      </c>
      <c r="F4" s="527" t="s">
        <v>53</v>
      </c>
      <c r="G4" s="538" t="s">
        <v>52</v>
      </c>
      <c r="H4" s="506"/>
      <c r="I4" s="21" t="s">
        <v>198</v>
      </c>
      <c r="J4" s="515">
        <f>IF(G4="冬型結露",$U$3,60)</f>
        <v>60</v>
      </c>
      <c r="K4" s="516"/>
      <c r="L4" s="506"/>
      <c r="M4" s="21" t="s">
        <v>198</v>
      </c>
      <c r="N4" s="515">
        <f>IF(G4="夏型結露",VLOOKUP(F4,$S$16:$U$19,3,FALSE),VLOOKUP(E4,$S$5:$U$12,3,FALSE))</f>
        <v>70</v>
      </c>
      <c r="O4" s="516"/>
      <c r="P4" s="22"/>
      <c r="Q4" s="22"/>
      <c r="R4" s="16"/>
      <c r="S4" s="23" t="s">
        <v>208</v>
      </c>
      <c r="T4" s="15"/>
      <c r="U4" s="24"/>
      <c r="V4" s="25" t="s">
        <v>313</v>
      </c>
      <c r="W4" s="328" t="s">
        <v>208</v>
      </c>
      <c r="X4" s="326"/>
      <c r="Y4" s="329"/>
      <c r="Z4" s="330" t="s">
        <v>313</v>
      </c>
      <c r="AD4" s="26">
        <v>0</v>
      </c>
      <c r="AE4" s="26">
        <f>J3</f>
        <v>15</v>
      </c>
      <c r="AF4" s="26">
        <f>237.3/((7.5/LOG10(J5/611))-1)</f>
        <v>7.3061185391618908</v>
      </c>
    </row>
    <row r="5" spans="1:32" ht="12" customHeight="1" x14ac:dyDescent="0.25">
      <c r="A5" s="507"/>
      <c r="B5" s="557"/>
      <c r="C5" s="558"/>
      <c r="D5" s="559"/>
      <c r="E5" s="537"/>
      <c r="F5" s="528"/>
      <c r="G5" s="539"/>
      <c r="H5" s="507"/>
      <c r="I5" s="27" t="s">
        <v>201</v>
      </c>
      <c r="J5" s="513">
        <f>EXP(-6096.938/(J3+273.15)+21.2409642-2.711193*10^-2*(J3+273.15)+1.673952*10^-5*(J3+273.15)^2+2.433502*LN((J3+273.15)))*J4/100</f>
        <v>1023.4297740044822</v>
      </c>
      <c r="K5" s="514"/>
      <c r="L5" s="507"/>
      <c r="M5" s="28" t="s">
        <v>201</v>
      </c>
      <c r="N5" s="513">
        <f>EXP(-6096.938/(N3+273.15)+21.2409642-2.711193*10^-2*(N3+273.15)+1.673952*10^-5*(N3+273.15)^2+2.433502*LN((N3+273.15)))*N4/100</f>
        <v>553.64452322424734</v>
      </c>
      <c r="O5" s="514"/>
      <c r="P5" s="29"/>
      <c r="Q5" s="29"/>
      <c r="R5" s="30"/>
      <c r="S5" s="6" t="s">
        <v>271</v>
      </c>
      <c r="T5" s="31">
        <v>-10.8</v>
      </c>
      <c r="U5" s="31">
        <v>70</v>
      </c>
      <c r="V5" s="32" t="s">
        <v>304</v>
      </c>
      <c r="W5" s="331" t="s">
        <v>271</v>
      </c>
      <c r="X5" s="332">
        <v>-11.6</v>
      </c>
      <c r="Y5" s="332">
        <v>70</v>
      </c>
      <c r="Z5" s="333" t="s">
        <v>304</v>
      </c>
      <c r="AD5" s="26">
        <v>47</v>
      </c>
      <c r="AE5" s="26">
        <f>J3</f>
        <v>15</v>
      </c>
      <c r="AF5" s="26">
        <f>237.3/((7.5/LOG10(J5/611))-1)</f>
        <v>7.3061185391618908</v>
      </c>
    </row>
    <row r="6" spans="1:32" s="16" customFormat="1" ht="12" customHeight="1" x14ac:dyDescent="0.25">
      <c r="A6" s="506" t="s">
        <v>286</v>
      </c>
      <c r="B6" s="564" t="s">
        <v>296</v>
      </c>
      <c r="C6" s="565"/>
      <c r="D6" s="35" t="s">
        <v>293</v>
      </c>
      <c r="E6" s="33" t="s">
        <v>203</v>
      </c>
      <c r="F6" s="36" t="s">
        <v>294</v>
      </c>
      <c r="G6" s="37" t="s">
        <v>295</v>
      </c>
      <c r="H6" s="37" t="s">
        <v>204</v>
      </c>
      <c r="I6" s="34" t="s">
        <v>196</v>
      </c>
      <c r="J6" s="34" t="s">
        <v>197</v>
      </c>
      <c r="K6" s="35" t="s">
        <v>205</v>
      </c>
      <c r="L6" s="36" t="s">
        <v>201</v>
      </c>
      <c r="M6" s="498" t="s">
        <v>206</v>
      </c>
      <c r="N6" s="480" t="s">
        <v>124</v>
      </c>
      <c r="O6" s="480" t="s">
        <v>207</v>
      </c>
      <c r="P6" s="38" t="s">
        <v>568</v>
      </c>
      <c r="Q6" s="38" t="s">
        <v>569</v>
      </c>
      <c r="S6" s="6" t="s">
        <v>272</v>
      </c>
      <c r="T6" s="31">
        <v>-8.8000000000000007</v>
      </c>
      <c r="U6" s="31">
        <v>70</v>
      </c>
      <c r="V6" s="39" t="s">
        <v>629</v>
      </c>
      <c r="W6" s="331" t="s">
        <v>272</v>
      </c>
      <c r="X6" s="332">
        <v>-7.5</v>
      </c>
      <c r="Y6" s="332">
        <v>70</v>
      </c>
      <c r="Z6" s="334" t="s">
        <v>648</v>
      </c>
      <c r="AB6" s="16" t="s">
        <v>209</v>
      </c>
      <c r="AC6" s="13">
        <v>50</v>
      </c>
      <c r="AD6" s="26">
        <f>AC6</f>
        <v>50</v>
      </c>
      <c r="AE6" s="26">
        <f>I8</f>
        <v>9.3000000000000007</v>
      </c>
      <c r="AF6" s="26">
        <f>J8</f>
        <v>7.1525963981427259</v>
      </c>
    </row>
    <row r="7" spans="1:32" s="16" customFormat="1" ht="12" customHeight="1" x14ac:dyDescent="0.25">
      <c r="A7" s="507"/>
      <c r="B7" s="566"/>
      <c r="C7" s="567"/>
      <c r="D7" s="42" t="s">
        <v>125</v>
      </c>
      <c r="E7" s="40" t="s">
        <v>210</v>
      </c>
      <c r="F7" s="43" t="s">
        <v>211</v>
      </c>
      <c r="G7" s="44" t="s">
        <v>212</v>
      </c>
      <c r="H7" s="44" t="s">
        <v>213</v>
      </c>
      <c r="I7" s="41" t="s">
        <v>214</v>
      </c>
      <c r="J7" s="41" t="s">
        <v>215</v>
      </c>
      <c r="K7" s="42" t="s">
        <v>216</v>
      </c>
      <c r="L7" s="43" t="s">
        <v>216</v>
      </c>
      <c r="M7" s="499"/>
      <c r="N7" s="44" t="s">
        <v>113</v>
      </c>
      <c r="O7" s="44" t="s">
        <v>217</v>
      </c>
      <c r="P7" s="44" t="s">
        <v>217</v>
      </c>
      <c r="Q7" s="44" t="s">
        <v>570</v>
      </c>
      <c r="S7" s="6" t="s">
        <v>273</v>
      </c>
      <c r="T7" s="31">
        <v>-2.7</v>
      </c>
      <c r="U7" s="31">
        <v>70</v>
      </c>
      <c r="V7" s="32" t="s">
        <v>308</v>
      </c>
      <c r="W7" s="331" t="s">
        <v>273</v>
      </c>
      <c r="X7" s="332">
        <v>-3.6</v>
      </c>
      <c r="Y7" s="332">
        <v>70</v>
      </c>
      <c r="Z7" s="333" t="s">
        <v>308</v>
      </c>
      <c r="AB7" s="16">
        <v>1</v>
      </c>
      <c r="AC7" s="45">
        <f>F9</f>
        <v>0</v>
      </c>
      <c r="AD7" s="26">
        <f>AC7+AD6</f>
        <v>50</v>
      </c>
      <c r="AE7" s="26">
        <f>I10</f>
        <v>9.3000000000000007</v>
      </c>
      <c r="AF7" s="26">
        <f>J10</f>
        <v>7.1525963981427259</v>
      </c>
    </row>
    <row r="8" spans="1:32" ht="12" customHeight="1" x14ac:dyDescent="0.25">
      <c r="A8" s="475" t="s">
        <v>186</v>
      </c>
      <c r="B8" s="540" t="s">
        <v>218</v>
      </c>
      <c r="C8" s="541"/>
      <c r="D8" s="542" t="str">
        <f>F4</f>
        <v>外壁</v>
      </c>
      <c r="E8" s="543"/>
      <c r="F8" s="544"/>
      <c r="G8" s="481">
        <f>IF(F4="屋根",0.09,IF(F4="外壁",0.11,IF(F4="天井",0.09,0.15)))</f>
        <v>0.11</v>
      </c>
      <c r="H8" s="482">
        <f>IF(F4="屋根",0.042,IF(F4="外壁",0.042,IF(F4="天井",0.042,0.042)))*3600*10^-9/760*1.013*10^5</f>
        <v>2.0153368421052633E-5</v>
      </c>
      <c r="I8" s="560">
        <f>J3-(J3-N3)*G8/F34</f>
        <v>9.3000000000000007</v>
      </c>
      <c r="J8" s="561">
        <f>237.3/((7.5/LOG10(L8/611))-1)</f>
        <v>7.1525963981427259</v>
      </c>
      <c r="K8" s="529">
        <f>EXP(-6096.938/(I8+273.15)+21.2409642-2.711193*10^-2*(I8+273.15)+1.673952*10^-5*(I8+273.15)^2+2.433502*LN((I8+273.15)))</f>
        <v>1171.7052017269605</v>
      </c>
      <c r="L8" s="530">
        <f>J5-(J5-N5)*H8/F39</f>
        <v>1012.7180581886462</v>
      </c>
      <c r="M8" s="512" t="str">
        <f>IF(L8/K8&lt;1,"○","×")</f>
        <v>○</v>
      </c>
      <c r="N8" s="500">
        <f>IF(L8/K8&gt;1,1,L8/K8)</f>
        <v>0.86431131029888297</v>
      </c>
      <c r="O8" s="501">
        <f>EXP(1.32774+7.80136*10^-2*I8-2.87894*10^-4*I8^2+1.36152*10^-6*I8^3+3.49024*10^-9*I8^4-4.87306*10^-3*ABS(I8))</f>
        <v>7.2729961141877615</v>
      </c>
      <c r="P8" s="497">
        <f>O8*N8</f>
        <v>6.2861328012523083</v>
      </c>
      <c r="Q8" s="497">
        <f>1.005*I8+(O8/1000)*(2501.1+1.846*I8)</f>
        <v>27.661851923884161</v>
      </c>
      <c r="R8" s="46"/>
      <c r="S8" s="6" t="s">
        <v>274</v>
      </c>
      <c r="T8" s="31">
        <v>-1.6</v>
      </c>
      <c r="U8" s="31">
        <v>70</v>
      </c>
      <c r="V8" s="32" t="s">
        <v>631</v>
      </c>
      <c r="W8" s="331" t="s">
        <v>274</v>
      </c>
      <c r="X8" s="332">
        <v>-1.5</v>
      </c>
      <c r="Y8" s="332">
        <v>70</v>
      </c>
      <c r="Z8" s="333" t="s">
        <v>650</v>
      </c>
      <c r="AB8" s="16">
        <v>2</v>
      </c>
      <c r="AC8" s="45">
        <f>F11</f>
        <v>0</v>
      </c>
      <c r="AD8" s="26">
        <f>AD7+AC8</f>
        <v>50</v>
      </c>
      <c r="AE8" s="26">
        <f>I12</f>
        <v>9.3000000000000007</v>
      </c>
      <c r="AF8" s="26">
        <f>J12</f>
        <v>7.1525963981427259</v>
      </c>
    </row>
    <row r="9" spans="1:32" ht="12" customHeight="1" x14ac:dyDescent="0.25">
      <c r="A9" s="545" t="s">
        <v>119</v>
      </c>
      <c r="B9" s="547"/>
      <c r="C9" s="548"/>
      <c r="D9" s="534" t="str">
        <f>IF(B9="","",VLOOKUP(B9,素材データ!$A$5:$AA$384,2,FALSE))</f>
        <v/>
      </c>
      <c r="E9" s="534" t="str">
        <f>IF(B9="","",VLOOKUP(B9,素材データ!$A$5:$AA$384,4,FALSE))</f>
        <v/>
      </c>
      <c r="F9" s="523"/>
      <c r="G9" s="525">
        <f>IF(D9="",0,IF(D9=0,VLOOKUP(B9,素材データ!$A$5:$AA$364,9,FALSE),IF(D9=0,0,F9/D9/1000)))</f>
        <v>0</v>
      </c>
      <c r="H9" s="532">
        <f>IF(E9="",0,IF(E9=0,VLOOKUP(B9,素材データ!$A$5:$AA$364,11,FALSE),E9*F9/1000))</f>
        <v>0</v>
      </c>
      <c r="I9" s="531"/>
      <c r="J9" s="520"/>
      <c r="K9" s="519"/>
      <c r="L9" s="504"/>
      <c r="M9" s="495"/>
      <c r="N9" s="494"/>
      <c r="O9" s="496"/>
      <c r="P9" s="496"/>
      <c r="Q9" s="496"/>
      <c r="R9" s="46"/>
      <c r="S9" s="6" t="s">
        <v>275</v>
      </c>
      <c r="T9" s="31">
        <v>1</v>
      </c>
      <c r="U9" s="31">
        <v>70</v>
      </c>
      <c r="V9" s="32" t="s">
        <v>310</v>
      </c>
      <c r="W9" s="331" t="s">
        <v>275</v>
      </c>
      <c r="X9" s="332">
        <v>0.9</v>
      </c>
      <c r="Y9" s="332">
        <v>70</v>
      </c>
      <c r="Z9" s="333" t="s">
        <v>310</v>
      </c>
      <c r="AB9" s="16">
        <v>3</v>
      </c>
      <c r="AC9" s="45">
        <f>F13</f>
        <v>0</v>
      </c>
      <c r="AD9" s="26">
        <f>AD8+AC9</f>
        <v>50</v>
      </c>
      <c r="AE9" s="26">
        <f>I14</f>
        <v>9.3000000000000007</v>
      </c>
      <c r="AF9" s="26">
        <f>J14</f>
        <v>7.1525963981427259</v>
      </c>
    </row>
    <row r="10" spans="1:32" ht="12" customHeight="1" x14ac:dyDescent="0.25">
      <c r="A10" s="546"/>
      <c r="B10" s="549"/>
      <c r="C10" s="550"/>
      <c r="D10" s="535"/>
      <c r="E10" s="535"/>
      <c r="F10" s="524"/>
      <c r="G10" s="526"/>
      <c r="H10" s="533"/>
      <c r="I10" s="531">
        <f>J3-(J3-N3)*(G8+G9)/F34</f>
        <v>9.3000000000000007</v>
      </c>
      <c r="J10" s="520">
        <f>237.3/((7.5/LOG10(L10/611))-1)</f>
        <v>7.1525963981427259</v>
      </c>
      <c r="K10" s="519">
        <f>EXP(-6096.938/(I10+273.15)+21.2409642-2.711193*10^-2*(I10+273.15)+1.673952*10^-5*(I10+273.15)^2+2.433502*LN((I10+273.15)))</f>
        <v>1171.7052017269605</v>
      </c>
      <c r="L10" s="504">
        <f>J5-(J5-N5)*(H8+H9)/F39</f>
        <v>1012.7180581886462</v>
      </c>
      <c r="M10" s="495" t="str">
        <f>IF(L10/K10&lt;1,"○","×")</f>
        <v>○</v>
      </c>
      <c r="N10" s="494">
        <f>IF(L10/K10&gt;1,1,L10/K10)</f>
        <v>0.86431131029888297</v>
      </c>
      <c r="O10" s="496">
        <f>EXP(1.32774+7.80136*10^-2*I10-2.87894*10^-4*I10^2+1.36152*10^-6*I10^3+3.49024*10^-9*I10^4-4.87306*10^-3*ABS(I10))</f>
        <v>7.2729961141877615</v>
      </c>
      <c r="P10" s="497">
        <f t="shared" ref="P10" si="0">O10*N10</f>
        <v>6.2861328012523083</v>
      </c>
      <c r="Q10" s="497">
        <f t="shared" ref="Q10" si="1">1.005*I10+(O10/1000)*(2501.1+1.846*I10)</f>
        <v>27.661851923884161</v>
      </c>
      <c r="R10" s="46"/>
      <c r="S10" s="6" t="s">
        <v>289</v>
      </c>
      <c r="T10" s="31">
        <v>3.6</v>
      </c>
      <c r="U10" s="31">
        <v>70</v>
      </c>
      <c r="V10" s="39" t="s">
        <v>633</v>
      </c>
      <c r="W10" s="331" t="s">
        <v>289</v>
      </c>
      <c r="X10" s="332">
        <v>3.1</v>
      </c>
      <c r="Y10" s="332">
        <v>70</v>
      </c>
      <c r="Z10" s="334" t="s">
        <v>652</v>
      </c>
      <c r="AB10" s="16">
        <v>4</v>
      </c>
      <c r="AC10" s="45">
        <f>F15</f>
        <v>0</v>
      </c>
      <c r="AD10" s="26">
        <f t="shared" ref="AD10:AD20" si="2">AD9+AC10</f>
        <v>50</v>
      </c>
      <c r="AE10" s="26">
        <f>I16</f>
        <v>9.3000000000000007</v>
      </c>
      <c r="AF10" s="26">
        <f>J16</f>
        <v>7.1525963981427259</v>
      </c>
    </row>
    <row r="11" spans="1:32" ht="12" customHeight="1" x14ac:dyDescent="0.25">
      <c r="A11" s="545" t="s">
        <v>120</v>
      </c>
      <c r="B11" s="547"/>
      <c r="C11" s="548"/>
      <c r="D11" s="534" t="str">
        <f>IF(B11="","",VLOOKUP(B11,素材データ!$A$5:$AA$384,2,FALSE))</f>
        <v/>
      </c>
      <c r="E11" s="534" t="str">
        <f>IF(B11="","",VLOOKUP(B11,素材データ!$A$5:$AA$384,4,FALSE))</f>
        <v/>
      </c>
      <c r="F11" s="523"/>
      <c r="G11" s="525">
        <f>IF(D11="",0,IF(D11=0,VLOOKUP(B11,素材データ!$A$5:$AA$364,9,FALSE),IF(D11=0,0,F11/D11/1000)))</f>
        <v>0</v>
      </c>
      <c r="H11" s="532">
        <f>IF(E11="",0,IF(E11=0,VLOOKUP(B11,素材データ!$A$5:$AA$364,11,FALSE),E11*F11/1000))</f>
        <v>0</v>
      </c>
      <c r="I11" s="531"/>
      <c r="J11" s="520"/>
      <c r="K11" s="519"/>
      <c r="L11" s="504"/>
      <c r="M11" s="495"/>
      <c r="N11" s="494"/>
      <c r="O11" s="496"/>
      <c r="P11" s="496"/>
      <c r="Q11" s="496"/>
      <c r="R11" s="47"/>
      <c r="S11" s="6" t="s">
        <v>290</v>
      </c>
      <c r="T11" s="31">
        <v>5.3</v>
      </c>
      <c r="U11" s="31">
        <v>70</v>
      </c>
      <c r="V11" s="32" t="s">
        <v>632</v>
      </c>
      <c r="W11" s="331" t="s">
        <v>290</v>
      </c>
      <c r="X11" s="332">
        <v>6</v>
      </c>
      <c r="Y11" s="332">
        <v>70</v>
      </c>
      <c r="Z11" s="333" t="s">
        <v>653</v>
      </c>
      <c r="AB11" s="16">
        <v>5</v>
      </c>
      <c r="AC11" s="45">
        <f>F17</f>
        <v>0</v>
      </c>
      <c r="AD11" s="26">
        <f t="shared" si="2"/>
        <v>50</v>
      </c>
      <c r="AE11" s="26">
        <f>I18</f>
        <v>9.3000000000000007</v>
      </c>
      <c r="AF11" s="26">
        <f>J18</f>
        <v>7.1525963981427259</v>
      </c>
    </row>
    <row r="12" spans="1:32" ht="12" customHeight="1" x14ac:dyDescent="0.25">
      <c r="A12" s="546"/>
      <c r="B12" s="549"/>
      <c r="C12" s="550"/>
      <c r="D12" s="535"/>
      <c r="E12" s="535"/>
      <c r="F12" s="524"/>
      <c r="G12" s="526"/>
      <c r="H12" s="533"/>
      <c r="I12" s="531">
        <f>J3-(J3-N3)*(G8+G9+G11)/F34</f>
        <v>9.3000000000000007</v>
      </c>
      <c r="J12" s="520">
        <f>237.3/((7.5/LOG10(L12/611))-1)</f>
        <v>7.1525963981427259</v>
      </c>
      <c r="K12" s="519">
        <f>EXP(-6096.938/(I12+273.15)+21.2409642-2.711193*10^-2*(I12+273.15)+1.673952*10^-5*(I12+273.15)^2+2.433502*LN((I12+273.15)))</f>
        <v>1171.7052017269605</v>
      </c>
      <c r="L12" s="504">
        <f>J5-(J5-N5)*(H8+H9+H11)/F39</f>
        <v>1012.7180581886462</v>
      </c>
      <c r="M12" s="495" t="str">
        <f>IF(L12/K12&lt;1,"○","×")</f>
        <v>○</v>
      </c>
      <c r="N12" s="494">
        <f>IF(L12/K12&gt;1,1,L12/K12)</f>
        <v>0.86431131029888297</v>
      </c>
      <c r="O12" s="496">
        <f>EXP(1.32774+7.80136*10^-2*I12-2.87894*10^-4*I12^2+1.36152*10^-6*I12^3+3.49024*10^-9*I12^4-4.87306*10^-3*ABS(I12))</f>
        <v>7.2729961141877615</v>
      </c>
      <c r="P12" s="497">
        <f t="shared" ref="P12" si="3">O12*N12</f>
        <v>6.2861328012523083</v>
      </c>
      <c r="Q12" s="497">
        <f t="shared" ref="Q12" si="4">1.005*I12+(O12/1000)*(2501.1+1.846*I12)</f>
        <v>27.661851923884161</v>
      </c>
      <c r="R12" s="47"/>
      <c r="S12" s="11" t="s">
        <v>291</v>
      </c>
      <c r="T12" s="48">
        <v>14.5</v>
      </c>
      <c r="U12" s="48">
        <v>70</v>
      </c>
      <c r="V12" s="49" t="s">
        <v>307</v>
      </c>
      <c r="W12" s="335" t="s">
        <v>291</v>
      </c>
      <c r="X12" s="336">
        <v>14.1</v>
      </c>
      <c r="Y12" s="336">
        <v>70</v>
      </c>
      <c r="Z12" s="337" t="s">
        <v>307</v>
      </c>
      <c r="AB12" s="16">
        <v>6</v>
      </c>
      <c r="AC12" s="45">
        <f>F19</f>
        <v>0</v>
      </c>
      <c r="AD12" s="26">
        <f t="shared" si="2"/>
        <v>50</v>
      </c>
      <c r="AE12" s="26">
        <f>I20</f>
        <v>9.3000000000000007</v>
      </c>
      <c r="AF12" s="26">
        <f>J20</f>
        <v>7.1525963981427259</v>
      </c>
    </row>
    <row r="13" spans="1:32" ht="12" customHeight="1" x14ac:dyDescent="0.25">
      <c r="A13" s="545" t="s">
        <v>121</v>
      </c>
      <c r="B13" s="547"/>
      <c r="C13" s="548"/>
      <c r="D13" s="534" t="str">
        <f>IF(B13="","",VLOOKUP(B13,素材データ!$A$5:$AA$384,2,FALSE))</f>
        <v/>
      </c>
      <c r="E13" s="534" t="str">
        <f>IF(B13="","",VLOOKUP(B13,素材データ!$A$5:$AA$384,4,FALSE))</f>
        <v/>
      </c>
      <c r="F13" s="523"/>
      <c r="G13" s="525">
        <f>IF(D13="",0,IF(D13=0,VLOOKUP(B13,素材データ!$A$5:$AA$364,9,FALSE),IF(D13=0,0,F13/D13/1000)))</f>
        <v>0</v>
      </c>
      <c r="H13" s="532">
        <f>IF(E13="",0,IF(E13=0,VLOOKUP(B13,素材データ!$A$5:$AA$364,11,FALSE),E13*F13/1000))</f>
        <v>0</v>
      </c>
      <c r="I13" s="531"/>
      <c r="J13" s="520"/>
      <c r="K13" s="519"/>
      <c r="L13" s="504"/>
      <c r="M13" s="495"/>
      <c r="N13" s="494"/>
      <c r="O13" s="496"/>
      <c r="P13" s="496"/>
      <c r="Q13" s="496"/>
      <c r="R13" s="50"/>
      <c r="S13" s="14" t="s">
        <v>219</v>
      </c>
      <c r="T13" s="15" t="s">
        <v>199</v>
      </c>
      <c r="U13" s="15" t="s">
        <v>200</v>
      </c>
      <c r="V13" s="51"/>
      <c r="W13" s="338" t="s">
        <v>219</v>
      </c>
      <c r="X13" s="326" t="s">
        <v>199</v>
      </c>
      <c r="Y13" s="326" t="s">
        <v>200</v>
      </c>
      <c r="Z13" s="339"/>
      <c r="AB13" s="16">
        <v>7</v>
      </c>
      <c r="AC13" s="45">
        <f>F21</f>
        <v>0</v>
      </c>
      <c r="AD13" s="26">
        <f t="shared" si="2"/>
        <v>50</v>
      </c>
      <c r="AE13" s="26">
        <f>I22</f>
        <v>9.3000000000000007</v>
      </c>
      <c r="AF13" s="26">
        <f>J22</f>
        <v>7.1525963981427259</v>
      </c>
    </row>
    <row r="14" spans="1:32" ht="12" customHeight="1" x14ac:dyDescent="0.25">
      <c r="A14" s="546"/>
      <c r="B14" s="549"/>
      <c r="C14" s="550"/>
      <c r="D14" s="535"/>
      <c r="E14" s="535"/>
      <c r="F14" s="524"/>
      <c r="G14" s="526"/>
      <c r="H14" s="533"/>
      <c r="I14" s="531">
        <f>J3-(J3-N3)*(G8+G9+G11+G13)/F34</f>
        <v>9.3000000000000007</v>
      </c>
      <c r="J14" s="520">
        <f>237.3/((7.5/LOG10(L14/611))-1)</f>
        <v>7.1525963981427259</v>
      </c>
      <c r="K14" s="519">
        <f>EXP(-6096.938/(I14+273.15)+21.2409642-2.711193*10^-2*(I14+273.15)+1.673952*10^-5*(I14+273.15)^2+2.433502*LN((I14+273.15)))</f>
        <v>1171.7052017269605</v>
      </c>
      <c r="L14" s="504">
        <f>J5-(J5-N5)*(H8+H9+H11+H13)/F39</f>
        <v>1012.7180581886462</v>
      </c>
      <c r="M14" s="495" t="str">
        <f>IF(L14/K14&lt;1,"○","×")</f>
        <v>○</v>
      </c>
      <c r="N14" s="494">
        <f>IF(L14/K14&gt;1,1,L14/K14)</f>
        <v>0.86431131029888297</v>
      </c>
      <c r="O14" s="496">
        <f>EXP(1.32774+7.80136*10^-2*I14-2.87894*10^-4*I14^2+1.36152*10^-6*I14^3+3.49024*10^-9*I14^4-4.87306*10^-3*ABS(I14))</f>
        <v>7.2729961141877615</v>
      </c>
      <c r="P14" s="497">
        <f t="shared" ref="P14" si="5">O14*N14</f>
        <v>6.2861328012523083</v>
      </c>
      <c r="Q14" s="497">
        <f t="shared" ref="Q14" si="6">1.005*I14+(O14/1000)*(2501.1+1.846*I14)</f>
        <v>27.661851923884161</v>
      </c>
      <c r="R14" s="50"/>
      <c r="S14" s="52" t="s">
        <v>202</v>
      </c>
      <c r="T14" s="20">
        <v>26</v>
      </c>
      <c r="U14" s="20">
        <v>60</v>
      </c>
      <c r="V14" s="53" t="s">
        <v>56</v>
      </c>
      <c r="W14" s="340" t="s">
        <v>202</v>
      </c>
      <c r="X14" s="327">
        <v>26</v>
      </c>
      <c r="Y14" s="327">
        <v>60</v>
      </c>
      <c r="Z14" s="341" t="s">
        <v>56</v>
      </c>
      <c r="AB14" s="16">
        <v>8</v>
      </c>
      <c r="AC14" s="45">
        <f>F23</f>
        <v>0</v>
      </c>
      <c r="AD14" s="26">
        <f t="shared" si="2"/>
        <v>50</v>
      </c>
      <c r="AE14" s="26">
        <f>I24</f>
        <v>9.3000000000000007</v>
      </c>
      <c r="AF14" s="26">
        <f>J24</f>
        <v>7.1525963981427259</v>
      </c>
    </row>
    <row r="15" spans="1:32" ht="12" customHeight="1" x14ac:dyDescent="0.25">
      <c r="A15" s="545" t="s">
        <v>122</v>
      </c>
      <c r="B15" s="547"/>
      <c r="C15" s="548"/>
      <c r="D15" s="534" t="str">
        <f>IF(B15="","",VLOOKUP(B15,素材データ!$A$5:$AA$384,2,FALSE))</f>
        <v/>
      </c>
      <c r="E15" s="534" t="str">
        <f>IF(B15="","",VLOOKUP(B15,素材データ!$A$5:$AA$384,4,FALSE))</f>
        <v/>
      </c>
      <c r="F15" s="523"/>
      <c r="G15" s="525">
        <f>IF(D15="",0,IF(D15=0,VLOOKUP(B15,素材データ!$A$5:$AA$364,9,FALSE),IF(D15=0,0,F15/D15/1000)))</f>
        <v>0</v>
      </c>
      <c r="H15" s="532">
        <f>IF(E15="",0,IF(E15=0,VLOOKUP(B15,素材データ!$A$5:$AA$364,11,FALSE),E15*F15/1000))</f>
        <v>0</v>
      </c>
      <c r="I15" s="531"/>
      <c r="J15" s="520"/>
      <c r="K15" s="519"/>
      <c r="L15" s="504"/>
      <c r="M15" s="495"/>
      <c r="N15" s="494"/>
      <c r="O15" s="496"/>
      <c r="P15" s="496"/>
      <c r="Q15" s="496"/>
      <c r="S15" s="443" t="s">
        <v>208</v>
      </c>
      <c r="T15" s="312"/>
      <c r="U15" s="444"/>
      <c r="V15" s="321"/>
      <c r="W15" s="357" t="s">
        <v>208</v>
      </c>
      <c r="X15" s="352"/>
      <c r="Y15" s="351"/>
      <c r="Z15" s="353" t="s">
        <v>57</v>
      </c>
      <c r="AB15" s="16">
        <v>9</v>
      </c>
      <c r="AC15" s="45">
        <f>F25</f>
        <v>0</v>
      </c>
      <c r="AD15" s="26">
        <f t="shared" si="2"/>
        <v>50</v>
      </c>
      <c r="AE15" s="26">
        <f>I26</f>
        <v>9.3000000000000007</v>
      </c>
      <c r="AF15" s="26">
        <f>J26</f>
        <v>7.1525963981427259</v>
      </c>
    </row>
    <row r="16" spans="1:32" ht="12" customHeight="1" x14ac:dyDescent="0.25">
      <c r="A16" s="546"/>
      <c r="B16" s="549"/>
      <c r="C16" s="550"/>
      <c r="D16" s="535"/>
      <c r="E16" s="535"/>
      <c r="F16" s="524"/>
      <c r="G16" s="526"/>
      <c r="H16" s="533"/>
      <c r="I16" s="531">
        <f>J3-(J3-N3)*(G8+G9+G11+G13+G15)/F34</f>
        <v>9.3000000000000007</v>
      </c>
      <c r="J16" s="520">
        <f>237.3/((7.5/LOG10(L16/611))-1)</f>
        <v>7.1525963981427259</v>
      </c>
      <c r="K16" s="519">
        <f>EXP(-6096.938/(I16+273.15)+21.2409642-2.711193*10^-2*(I16+273.15)+1.673952*10^-5*(I16+273.15)^2+2.433502*LN((I16+273.15)))</f>
        <v>1171.7052017269605</v>
      </c>
      <c r="L16" s="504">
        <f>J5-(J5-N5)*(H8+H9+H11+H13+H15)/F39</f>
        <v>1012.7180581886462</v>
      </c>
      <c r="M16" s="495" t="str">
        <f>IF(L16/K16&lt;1,"○","×")</f>
        <v>○</v>
      </c>
      <c r="N16" s="494">
        <f>IF(L16/K16&gt;1,1,L16/K16)</f>
        <v>0.86431131029888297</v>
      </c>
      <c r="O16" s="496">
        <f>EXP(1.32774+7.80136*10^-2*I16-2.87894*10^-4*I16^2+1.36152*10^-6*I16^3+3.49024*10^-9*I16^4-4.87306*10^-3*ABS(I16))</f>
        <v>7.2729961141877615</v>
      </c>
      <c r="P16" s="497">
        <f t="shared" ref="P16" si="7">O16*N16</f>
        <v>6.2861328012523083</v>
      </c>
      <c r="Q16" s="497">
        <f t="shared" ref="Q16" si="8">1.005*I16+(O16/1000)*(2501.1+1.846*I16)</f>
        <v>27.661851923884161</v>
      </c>
      <c r="S16" s="54" t="s">
        <v>288</v>
      </c>
      <c r="T16" s="31">
        <v>60</v>
      </c>
      <c r="U16" s="31">
        <v>40</v>
      </c>
      <c r="V16" s="32" t="s">
        <v>58</v>
      </c>
      <c r="W16" s="342" t="s">
        <v>288</v>
      </c>
      <c r="X16" s="332">
        <v>60</v>
      </c>
      <c r="Y16" s="332">
        <v>40</v>
      </c>
      <c r="Z16" s="333" t="s">
        <v>58</v>
      </c>
      <c r="AB16" s="16">
        <v>10</v>
      </c>
      <c r="AC16" s="45">
        <f>F27</f>
        <v>0</v>
      </c>
      <c r="AD16" s="26">
        <f>AD15+AC16</f>
        <v>50</v>
      </c>
      <c r="AE16" s="26">
        <f>I28</f>
        <v>9.3000000000000007</v>
      </c>
      <c r="AF16" s="26">
        <f>J28</f>
        <v>7.1525963981427259</v>
      </c>
    </row>
    <row r="17" spans="1:32" ht="12" customHeight="1" x14ac:dyDescent="0.25">
      <c r="A17" s="545" t="s">
        <v>123</v>
      </c>
      <c r="B17" s="547"/>
      <c r="C17" s="548"/>
      <c r="D17" s="534" t="str">
        <f>IF(B17="","",VLOOKUP(B17,素材データ!$A$5:$AA$384,2,FALSE))</f>
        <v/>
      </c>
      <c r="E17" s="534" t="str">
        <f>IF(B17="","",VLOOKUP(B17,素材データ!$A$5:$AA$384,4,FALSE))</f>
        <v/>
      </c>
      <c r="F17" s="523"/>
      <c r="G17" s="525">
        <f>IF(D17="",0,IF(D17=0,VLOOKUP(B17,素材データ!$A$5:$AA$364,9,FALSE),IF(D17=0,0,F17/D17/1000)))</f>
        <v>0</v>
      </c>
      <c r="H17" s="532">
        <f>IF(E17="",0,IF(E17=0,VLOOKUP(B17,素材データ!$A$5:$AA$364,11,FALSE),E17*F17/1000))</f>
        <v>0</v>
      </c>
      <c r="I17" s="531"/>
      <c r="J17" s="520"/>
      <c r="K17" s="519"/>
      <c r="L17" s="504"/>
      <c r="M17" s="495"/>
      <c r="N17" s="494"/>
      <c r="O17" s="496"/>
      <c r="P17" s="496"/>
      <c r="Q17" s="496"/>
      <c r="S17" s="54" t="s">
        <v>341</v>
      </c>
      <c r="T17" s="31">
        <v>60</v>
      </c>
      <c r="U17" s="31">
        <v>40</v>
      </c>
      <c r="V17" s="39" t="s">
        <v>661</v>
      </c>
      <c r="W17" s="342" t="s">
        <v>341</v>
      </c>
      <c r="X17" s="95"/>
      <c r="Y17" s="311"/>
      <c r="Z17" s="445"/>
      <c r="AB17" s="16">
        <v>11</v>
      </c>
      <c r="AC17" s="45">
        <f>F29</f>
        <v>0</v>
      </c>
      <c r="AD17" s="26">
        <f t="shared" si="2"/>
        <v>50</v>
      </c>
      <c r="AE17" s="26">
        <f>I30</f>
        <v>9.3000000000000007</v>
      </c>
      <c r="AF17" s="26">
        <f>J30</f>
        <v>7.1525963981427259</v>
      </c>
    </row>
    <row r="18" spans="1:32" ht="12" customHeight="1" x14ac:dyDescent="0.25">
      <c r="A18" s="546"/>
      <c r="B18" s="549"/>
      <c r="C18" s="550"/>
      <c r="D18" s="535"/>
      <c r="E18" s="535"/>
      <c r="F18" s="524"/>
      <c r="G18" s="526"/>
      <c r="H18" s="533"/>
      <c r="I18" s="531">
        <f>J3-(J3-N3)*(G8+G9+G11+G13+G15+G17)/F34</f>
        <v>9.3000000000000007</v>
      </c>
      <c r="J18" s="520">
        <f>237.3/((7.5/LOG10(L18/611))-1)</f>
        <v>7.1525963981427259</v>
      </c>
      <c r="K18" s="519">
        <f>EXP(-6096.938/(I18+273.15)+21.2409642-2.711193*10^-2*(I18+273.15)+1.673952*10^-5*(I18+273.15)^2+2.433502*LN((I18+273.15)))</f>
        <v>1171.7052017269605</v>
      </c>
      <c r="L18" s="504">
        <f>J5-(J5-N5)*(H8+H9+H11+H13+H15+H17)/F39</f>
        <v>1012.7180581886462</v>
      </c>
      <c r="M18" s="495" t="str">
        <f>IF(L18/K18&lt;1,"○","×")</f>
        <v>○</v>
      </c>
      <c r="N18" s="494">
        <f>IF(L18/K18&gt;1,1,L18/K18)</f>
        <v>0.86431131029888297</v>
      </c>
      <c r="O18" s="496">
        <f>EXP(1.32774+7.80136*10^-2*I18-2.87894*10^-4*I18^2+1.36152*10^-6*I18^3+3.49024*10^-9*I18^4-4.87306*10^-3*ABS(I18))</f>
        <v>7.2729961141877615</v>
      </c>
      <c r="P18" s="497">
        <f t="shared" ref="P18" si="9">O18*N18</f>
        <v>6.2861328012523083</v>
      </c>
      <c r="Q18" s="497">
        <f t="shared" ref="Q18" si="10">1.005*I18+(O18/1000)*(2501.1+1.846*I18)</f>
        <v>27.661851923884161</v>
      </c>
      <c r="S18" s="54" t="s">
        <v>74</v>
      </c>
      <c r="T18" s="31">
        <v>35</v>
      </c>
      <c r="U18" s="31">
        <v>80</v>
      </c>
      <c r="V18" s="39" t="s">
        <v>662</v>
      </c>
      <c r="W18" s="342" t="s">
        <v>74</v>
      </c>
      <c r="X18" s="95"/>
      <c r="Y18" s="311"/>
      <c r="Z18" s="445"/>
      <c r="AB18" s="16">
        <v>12</v>
      </c>
      <c r="AC18" s="45">
        <f>F31</f>
        <v>0</v>
      </c>
      <c r="AD18" s="26">
        <f t="shared" si="2"/>
        <v>50</v>
      </c>
      <c r="AE18" s="26">
        <f>I32</f>
        <v>9.3000000000000007</v>
      </c>
      <c r="AF18" s="26">
        <f>J32</f>
        <v>7.1525963981427259</v>
      </c>
    </row>
    <row r="19" spans="1:32" ht="12" customHeight="1" x14ac:dyDescent="0.25">
      <c r="A19" s="545" t="s">
        <v>300</v>
      </c>
      <c r="B19" s="547"/>
      <c r="C19" s="548"/>
      <c r="D19" s="534" t="str">
        <f>IF(B19="","",VLOOKUP(B19,素材データ!$A$5:$AA$384,2,FALSE))</f>
        <v/>
      </c>
      <c r="E19" s="534" t="str">
        <f>IF(B19="","",VLOOKUP(B19,素材データ!$A$5:$AA$384,4,FALSE))</f>
        <v/>
      </c>
      <c r="F19" s="523"/>
      <c r="G19" s="525">
        <f>IF(D19="",0,IF(D19=0,VLOOKUP(B19,素材データ!$A$5:$AA$364,9,FALSE),IF(D19=0,0,F19/D19/1000)))</f>
        <v>0</v>
      </c>
      <c r="H19" s="532">
        <f>IF(E19="",0,IF(E19=0,VLOOKUP(B19,素材データ!$A$5:$AA$364,11,FALSE),E19*F19/1000))</f>
        <v>0</v>
      </c>
      <c r="I19" s="531"/>
      <c r="J19" s="520"/>
      <c r="K19" s="519"/>
      <c r="L19" s="504"/>
      <c r="M19" s="495"/>
      <c r="N19" s="494"/>
      <c r="O19" s="496"/>
      <c r="P19" s="496"/>
      <c r="Q19" s="496"/>
      <c r="S19" s="55" t="s">
        <v>59</v>
      </c>
      <c r="T19" s="48">
        <v>45</v>
      </c>
      <c r="U19" s="48">
        <v>40</v>
      </c>
      <c r="V19" s="49" t="s">
        <v>60</v>
      </c>
      <c r="W19" s="343" t="s">
        <v>59</v>
      </c>
      <c r="X19" s="336">
        <v>45</v>
      </c>
      <c r="Y19" s="336">
        <v>40</v>
      </c>
      <c r="Z19" s="337" t="s">
        <v>60</v>
      </c>
      <c r="AB19" s="16" t="s">
        <v>63</v>
      </c>
      <c r="AC19" s="45">
        <f>IF(E33="通気層工法(9mm以上)",9,IF(E33="通気層工法(18mm以上)",18,0))</f>
        <v>18</v>
      </c>
      <c r="AD19" s="26">
        <f t="shared" si="2"/>
        <v>68</v>
      </c>
      <c r="AE19" s="26">
        <f>N3</f>
        <v>3.6</v>
      </c>
      <c r="AF19" s="26">
        <f>237.3/((7.5/LOG10(N5/611))-1)</f>
        <v>-1.3468270695015434</v>
      </c>
    </row>
    <row r="20" spans="1:32" ht="12" customHeight="1" x14ac:dyDescent="0.25">
      <c r="A20" s="546"/>
      <c r="B20" s="549"/>
      <c r="C20" s="550"/>
      <c r="D20" s="535"/>
      <c r="E20" s="535"/>
      <c r="F20" s="524"/>
      <c r="G20" s="526"/>
      <c r="H20" s="533"/>
      <c r="I20" s="531">
        <f>J3-(J3-N3)*(G8+G9+G11+G13+G15+G17+G19)/F34</f>
        <v>9.3000000000000007</v>
      </c>
      <c r="J20" s="520">
        <f>237.3/((7.5/LOG10(L20/611))-1)</f>
        <v>7.1525963981427259</v>
      </c>
      <c r="K20" s="519">
        <f>EXP(-6096.938/(I20+273.15)+21.2409642-2.711193*10^-2*(I20+273.15)+1.673952*10^-5*(I20+273.15)^2+2.433502*LN((I20+273.15)))</f>
        <v>1171.7052017269605</v>
      </c>
      <c r="L20" s="504">
        <f>J5-(J5-N5)*(H8+H9+H11+H13+H15+H17+H19)/F39</f>
        <v>1012.7180581886462</v>
      </c>
      <c r="M20" s="495" t="str">
        <f>IF(L20/K20&lt;1,"○","×")</f>
        <v>○</v>
      </c>
      <c r="N20" s="494">
        <f>IF(L20/K20&gt;1,1,L20/K20)</f>
        <v>0.86431131029888297</v>
      </c>
      <c r="O20" s="496">
        <f>EXP(1.32774+7.80136*10^-2*I20-2.87894*10^-4*I20^2+1.36152*10^-6*I20^3+3.49024*10^-9*I20^4-4.87306*10^-3*ABS(I20))</f>
        <v>7.2729961141877615</v>
      </c>
      <c r="P20" s="497">
        <f t="shared" ref="P20" si="11">O20*N20</f>
        <v>6.2861328012523083</v>
      </c>
      <c r="Q20" s="497">
        <f t="shared" ref="Q20" si="12">1.005*I20+(O20/1000)*(2501.1+1.846*I20)</f>
        <v>27.661851923884161</v>
      </c>
      <c r="S20" s="13" t="s">
        <v>61</v>
      </c>
      <c r="V20" s="56" t="s">
        <v>62</v>
      </c>
      <c r="W20" s="95" t="s">
        <v>61</v>
      </c>
      <c r="X20" s="95"/>
      <c r="Y20" s="311"/>
      <c r="Z20" s="344" t="s">
        <v>1</v>
      </c>
      <c r="AC20" s="13">
        <v>50</v>
      </c>
      <c r="AD20" s="26">
        <f t="shared" si="2"/>
        <v>118</v>
      </c>
      <c r="AE20" s="26">
        <f>N3</f>
        <v>3.6</v>
      </c>
      <c r="AF20" s="26">
        <f>237.3/((7.5/LOG10(N5/611))-1)</f>
        <v>-1.3468270695015434</v>
      </c>
    </row>
    <row r="21" spans="1:32" ht="12" customHeight="1" x14ac:dyDescent="0.25">
      <c r="A21" s="545" t="s">
        <v>301</v>
      </c>
      <c r="B21" s="547"/>
      <c r="C21" s="548"/>
      <c r="D21" s="534" t="str">
        <f>IF(B21="","",VLOOKUP(B21,素材データ!$A$5:$AA$384,2,FALSE))</f>
        <v/>
      </c>
      <c r="E21" s="534" t="str">
        <f>IF(B21="","",VLOOKUP(B21,素材データ!$A$5:$AA$384,4,FALSE))</f>
        <v/>
      </c>
      <c r="F21" s="523"/>
      <c r="G21" s="525">
        <f>IF(D21="",0,IF(D21=0,VLOOKUP(B21,素材データ!$A$5:$AA$364,9,FALSE),IF(D21=0,0,F21/D21/1000)))</f>
        <v>0</v>
      </c>
      <c r="H21" s="532">
        <f>IF(E21="",0,IF(E21=0,VLOOKUP(B21,素材データ!$A$5:$AA$364,11,FALSE),E21*F21/1000))</f>
        <v>0</v>
      </c>
      <c r="I21" s="531"/>
      <c r="J21" s="520"/>
      <c r="K21" s="519"/>
      <c r="L21" s="504"/>
      <c r="M21" s="495"/>
      <c r="N21" s="494"/>
      <c r="O21" s="496"/>
      <c r="P21" s="496"/>
      <c r="Q21" s="496"/>
      <c r="S21" s="14" t="s">
        <v>297</v>
      </c>
      <c r="T21" s="57" t="s">
        <v>199</v>
      </c>
      <c r="U21" s="57" t="s">
        <v>200</v>
      </c>
      <c r="V21" s="58"/>
      <c r="W21" s="345" t="s">
        <v>297</v>
      </c>
      <c r="X21" s="346" t="s">
        <v>199</v>
      </c>
      <c r="Y21" s="346" t="s">
        <v>200</v>
      </c>
      <c r="Z21" s="347"/>
    </row>
    <row r="22" spans="1:32" ht="12" customHeight="1" x14ac:dyDescent="0.25">
      <c r="A22" s="546"/>
      <c r="B22" s="549"/>
      <c r="C22" s="550"/>
      <c r="D22" s="535"/>
      <c r="E22" s="535"/>
      <c r="F22" s="524"/>
      <c r="G22" s="526"/>
      <c r="H22" s="533"/>
      <c r="I22" s="531">
        <f>J3-(J3-N3)*(G8+G9+G11+G13+G15+G17+G19+G21)/F34</f>
        <v>9.3000000000000007</v>
      </c>
      <c r="J22" s="520">
        <f>237.3/((7.5/LOG10(L22/611))-1)</f>
        <v>7.1525963981427259</v>
      </c>
      <c r="K22" s="519">
        <f>EXP(-6096.938/(I22+273.15)+21.2409642-2.711193*10^-2*(I22+273.15)+1.673952*10^-5*(I22+273.15)^2+2.433502*LN((I22+273.15)))</f>
        <v>1171.7052017269605</v>
      </c>
      <c r="L22" s="504">
        <f>J5-(J5-N5)*(H8+H9+H11+H13+H15+H17+H19+H21)/F39</f>
        <v>1012.7180581886462</v>
      </c>
      <c r="M22" s="495" t="str">
        <f>IF(L22/K22&lt;1,"○","×")</f>
        <v>○</v>
      </c>
      <c r="N22" s="494">
        <f>IF(L22/K22&gt;1,1,L22/K22)</f>
        <v>0.86431131029888297</v>
      </c>
      <c r="O22" s="496">
        <f>EXP(1.32774+7.80136*10^-2*I22-2.87894*10^-4*I22^2+1.36152*10^-6*I22^3+3.49024*10^-9*I22^4-4.87306*10^-3*ABS(I22))</f>
        <v>7.2729961141877615</v>
      </c>
      <c r="P22" s="497">
        <f t="shared" ref="P22" si="13">O22*N22</f>
        <v>6.2861328012523083</v>
      </c>
      <c r="Q22" s="497">
        <f t="shared" ref="Q22" si="14">1.005*I22+(O22/1000)*(2501.1+1.846*I22)</f>
        <v>27.661851923884161</v>
      </c>
      <c r="S22" s="52" t="s">
        <v>202</v>
      </c>
      <c r="T22" s="20">
        <v>15</v>
      </c>
      <c r="U22" s="20">
        <v>60</v>
      </c>
      <c r="V22" s="59" t="s">
        <v>312</v>
      </c>
      <c r="W22" s="340" t="s">
        <v>202</v>
      </c>
      <c r="X22" s="348">
        <v>15</v>
      </c>
      <c r="Y22" s="348">
        <v>50</v>
      </c>
      <c r="Z22" s="349" t="s">
        <v>646</v>
      </c>
    </row>
    <row r="23" spans="1:32" ht="12" customHeight="1" x14ac:dyDescent="0.25">
      <c r="A23" s="545" t="s">
        <v>230</v>
      </c>
      <c r="B23" s="547"/>
      <c r="C23" s="548"/>
      <c r="D23" s="534" t="str">
        <f>IF(B23="","",VLOOKUP(B23,素材データ!$A$5:$AA$384,2,FALSE))</f>
        <v/>
      </c>
      <c r="E23" s="534" t="str">
        <f>IF(B23="","",VLOOKUP(B23,素材データ!$A$5:$AA$384,4,FALSE))</f>
        <v/>
      </c>
      <c r="F23" s="523"/>
      <c r="G23" s="525">
        <f>IF(D23="",0,IF(D23=0,VLOOKUP(B23,素材データ!$A$5:$AA$364,9,FALSE),IF(D23=0,0,F23/D23/1000)))</f>
        <v>0</v>
      </c>
      <c r="H23" s="532">
        <f>IF(E23="",0,IF(E23=0,VLOOKUP(B23,素材データ!$A$5:$AA$364,11,FALSE),E23*F23/1000))</f>
        <v>0</v>
      </c>
      <c r="I23" s="531"/>
      <c r="J23" s="520"/>
      <c r="K23" s="519"/>
      <c r="L23" s="504"/>
      <c r="M23" s="495"/>
      <c r="N23" s="494"/>
      <c r="O23" s="496"/>
      <c r="P23" s="496"/>
      <c r="Q23" s="496"/>
      <c r="S23" s="8" t="s">
        <v>271</v>
      </c>
      <c r="T23" s="24">
        <v>-18.899999999999999</v>
      </c>
      <c r="U23" s="15" t="s">
        <v>64</v>
      </c>
      <c r="V23" s="25" t="s">
        <v>305</v>
      </c>
      <c r="W23" s="350" t="s">
        <v>271</v>
      </c>
      <c r="X23" s="351">
        <v>-19.8</v>
      </c>
      <c r="Y23" s="352" t="s">
        <v>9</v>
      </c>
      <c r="Z23" s="353" t="s">
        <v>305</v>
      </c>
    </row>
    <row r="24" spans="1:32" ht="12" customHeight="1" x14ac:dyDescent="0.25">
      <c r="A24" s="546"/>
      <c r="B24" s="549"/>
      <c r="C24" s="550"/>
      <c r="D24" s="535"/>
      <c r="E24" s="535"/>
      <c r="F24" s="524"/>
      <c r="G24" s="526"/>
      <c r="H24" s="533"/>
      <c r="I24" s="531">
        <f>J3-(J3-N3)*(G8+G9+G11+G13+G15+G17+G19+G21+G23)/F34</f>
        <v>9.3000000000000007</v>
      </c>
      <c r="J24" s="520">
        <f>237.3/((7.5/LOG10(L24/611))-1)</f>
        <v>7.1525963981427259</v>
      </c>
      <c r="K24" s="519">
        <f>EXP(-6096.938/(I24+273.15)+21.2409642-2.711193*10^-2*(I24+273.15)+1.673952*10^-5*(I24+273.15)^2+2.433502*LN((I24+273.15)))</f>
        <v>1171.7052017269605</v>
      </c>
      <c r="L24" s="504">
        <f>J5-(J5-N5)*(H8+H9+H11+H13+H15+H17+H19+H21+H23)/F39</f>
        <v>1012.7180581886462</v>
      </c>
      <c r="M24" s="495" t="str">
        <f>IF(L24/K24&lt;1,"○","×")</f>
        <v>○</v>
      </c>
      <c r="N24" s="494">
        <f>IF(L24/K24&gt;1,1,L24/K24)</f>
        <v>0.86431131029888297</v>
      </c>
      <c r="O24" s="496">
        <f>EXP(1.32774+7.80136*10^-2*I24-2.87894*10^-4*I24^2+1.36152*10^-6*I24^3+3.49024*10^-9*I24^4-4.87306*10^-3*ABS(I24))</f>
        <v>7.2729961141877615</v>
      </c>
      <c r="P24" s="497">
        <f t="shared" ref="P24" si="15">O24*N24</f>
        <v>6.2861328012523083</v>
      </c>
      <c r="Q24" s="497">
        <f t="shared" ref="Q24" si="16">1.005*I24+(O24/1000)*(2501.1+1.846*I24)</f>
        <v>27.661851923884161</v>
      </c>
      <c r="S24" s="6" t="s">
        <v>272</v>
      </c>
      <c r="T24" s="31">
        <v>-16.899999999999999</v>
      </c>
      <c r="U24" s="16" t="s">
        <v>9</v>
      </c>
      <c r="V24" s="39" t="s">
        <v>629</v>
      </c>
      <c r="W24" s="331" t="s">
        <v>272</v>
      </c>
      <c r="X24" s="332">
        <v>-14.9</v>
      </c>
      <c r="Y24" s="311" t="s">
        <v>9</v>
      </c>
      <c r="Z24" s="334" t="s">
        <v>648</v>
      </c>
    </row>
    <row r="25" spans="1:32" ht="12" customHeight="1" x14ac:dyDescent="0.25">
      <c r="A25" s="545" t="s">
        <v>231</v>
      </c>
      <c r="B25" s="547"/>
      <c r="C25" s="548"/>
      <c r="D25" s="534" t="str">
        <f>IF(B25="","",VLOOKUP(B25,素材データ!$A$5:$AA$384,2,FALSE))</f>
        <v/>
      </c>
      <c r="E25" s="534" t="str">
        <f>IF(B25="","",VLOOKUP(B25,素材データ!$A$5:$AA$384,4,FALSE))</f>
        <v/>
      </c>
      <c r="F25" s="523"/>
      <c r="G25" s="525">
        <f>IF(D25="",0,IF(D25=0,VLOOKUP(B25,素材データ!$A$5:$AA$364,9,FALSE),IF(D25=0,0,F25/D25/1000)))</f>
        <v>0</v>
      </c>
      <c r="H25" s="532">
        <f>IF(E25="",0,IF(E25=0,VLOOKUP(B25,素材データ!$A$5:$AA$364,11,FALSE),E25*F25/1000))</f>
        <v>0</v>
      </c>
      <c r="I25" s="531"/>
      <c r="J25" s="520"/>
      <c r="K25" s="519"/>
      <c r="L25" s="504"/>
      <c r="M25" s="495"/>
      <c r="N25" s="494"/>
      <c r="O25" s="496"/>
      <c r="P25" s="496"/>
      <c r="Q25" s="496"/>
      <c r="S25" s="6" t="s">
        <v>273</v>
      </c>
      <c r="T25" s="31">
        <v>-8.1999999999999993</v>
      </c>
      <c r="U25" s="16" t="s">
        <v>65</v>
      </c>
      <c r="V25" s="32" t="s">
        <v>630</v>
      </c>
      <c r="W25" s="331" t="s">
        <v>273</v>
      </c>
      <c r="X25" s="332">
        <v>-8.1999999999999993</v>
      </c>
      <c r="Y25" s="311" t="s">
        <v>9</v>
      </c>
      <c r="Z25" s="333" t="s">
        <v>649</v>
      </c>
    </row>
    <row r="26" spans="1:32" ht="12" customHeight="1" x14ac:dyDescent="0.25">
      <c r="A26" s="546"/>
      <c r="B26" s="549"/>
      <c r="C26" s="550"/>
      <c r="D26" s="535"/>
      <c r="E26" s="535"/>
      <c r="F26" s="524"/>
      <c r="G26" s="526"/>
      <c r="H26" s="533"/>
      <c r="I26" s="531">
        <f>J3-(J3-N3)*(G8+G9+G11+G13+G15+G17+G19+G21+G23+G25)/F34</f>
        <v>9.3000000000000007</v>
      </c>
      <c r="J26" s="520">
        <f>237.3/((7.5/LOG10(L26/611))-1)</f>
        <v>7.1525963981427259</v>
      </c>
      <c r="K26" s="519">
        <f>EXP(-6096.938/(I26+273.15)+21.2409642-2.711193*10^-2*(I26+273.15)+1.673952*10^-5*(I26+273.15)^2+2.433502*LN((I26+273.15)))</f>
        <v>1171.7052017269605</v>
      </c>
      <c r="L26" s="504">
        <f>J5-(J5-N5)*(H8+H9+H11+H13+H15+H17+H19+H21+H23+H25)/F39</f>
        <v>1012.7180581886462</v>
      </c>
      <c r="M26" s="495" t="str">
        <f>IF(L26/K26&lt;1,"○","×")</f>
        <v>○</v>
      </c>
      <c r="N26" s="494">
        <f>IF(L26/K26&gt;1,1,L26/K26)</f>
        <v>0.86431131029888297</v>
      </c>
      <c r="O26" s="496">
        <f>EXP(1.32774+7.80136*10^-2*I26-2.87894*10^-4*I26^2+1.36152*10^-6*I26^3+3.49024*10^-9*I26^4-4.87306*10^-3*ABS(I26))</f>
        <v>7.2729961141877615</v>
      </c>
      <c r="P26" s="497">
        <f t="shared" ref="P26" si="17">O26*N26</f>
        <v>6.2861328012523083</v>
      </c>
      <c r="Q26" s="497">
        <f t="shared" ref="Q26" si="18">1.005*I26+(O26/1000)*(2501.1+1.846*I26)</f>
        <v>27.661851923884161</v>
      </c>
      <c r="S26" s="6" t="s">
        <v>274</v>
      </c>
      <c r="T26" s="31">
        <v>-6.9</v>
      </c>
      <c r="U26" s="16" t="s">
        <v>66</v>
      </c>
      <c r="V26" s="32" t="s">
        <v>631</v>
      </c>
      <c r="W26" s="331" t="s">
        <v>274</v>
      </c>
      <c r="X26" s="332">
        <v>-6</v>
      </c>
      <c r="Y26" s="311" t="s">
        <v>9</v>
      </c>
      <c r="Z26" s="333" t="s">
        <v>650</v>
      </c>
    </row>
    <row r="27" spans="1:32" ht="12" customHeight="1" x14ac:dyDescent="0.25">
      <c r="A27" s="545" t="s">
        <v>585</v>
      </c>
      <c r="B27" s="547"/>
      <c r="C27" s="548"/>
      <c r="D27" s="534" t="str">
        <f>IF(B27="","",VLOOKUP(B27,素材データ!$A$5:$AA$384,2,FALSE))</f>
        <v/>
      </c>
      <c r="E27" s="534" t="str">
        <f>IF(B27="","",VLOOKUP(B27,素材データ!$A$5:$AA$384,4,FALSE))</f>
        <v/>
      </c>
      <c r="F27" s="523"/>
      <c r="G27" s="525">
        <f>IF(D27="",0,IF(D27=0,VLOOKUP(B27,素材データ!$A$5:$AA$364,9,FALSE),IF(D27=0,0,F27/D27/1000)))</f>
        <v>0</v>
      </c>
      <c r="H27" s="532">
        <f>IF(E27="",0,IF(E27=0,VLOOKUP(B27,素材データ!$A$5:$AA$364,11,FALSE),E27*F27/1000))</f>
        <v>0</v>
      </c>
      <c r="I27" s="531"/>
      <c r="J27" s="520"/>
      <c r="K27" s="519"/>
      <c r="L27" s="504"/>
      <c r="M27" s="495"/>
      <c r="N27" s="494"/>
      <c r="O27" s="496"/>
      <c r="P27" s="496"/>
      <c r="Q27" s="496"/>
      <c r="R27" s="16"/>
      <c r="S27" s="6" t="s">
        <v>275</v>
      </c>
      <c r="T27" s="31">
        <v>-4.4000000000000004</v>
      </c>
      <c r="U27" s="16" t="s">
        <v>67</v>
      </c>
      <c r="V27" s="32" t="s">
        <v>309</v>
      </c>
      <c r="W27" s="331" t="s">
        <v>275</v>
      </c>
      <c r="X27" s="332">
        <v>-4.7</v>
      </c>
      <c r="Y27" s="311" t="s">
        <v>9</v>
      </c>
      <c r="Z27" s="333" t="s">
        <v>309</v>
      </c>
    </row>
    <row r="28" spans="1:32" ht="12" customHeight="1" x14ac:dyDescent="0.25">
      <c r="A28" s="546"/>
      <c r="B28" s="549"/>
      <c r="C28" s="550"/>
      <c r="D28" s="535"/>
      <c r="E28" s="535"/>
      <c r="F28" s="524"/>
      <c r="G28" s="526"/>
      <c r="H28" s="533"/>
      <c r="I28" s="531">
        <f>J3-(J3-N3)*(G8+G9+G11+G13+G15+G17+G19+G21+G23+G25+G27)/F34</f>
        <v>9.3000000000000007</v>
      </c>
      <c r="J28" s="520">
        <f>237.3/((7.5/LOG10(L28/611))-1)</f>
        <v>7.1525963981427259</v>
      </c>
      <c r="K28" s="519">
        <f>EXP(-6096.938/(I28+273.15)+21.2409642-2.711193*10^-2*(I28+273.15)+1.673952*10^-5*(I28+273.15)^2+2.433502*LN((I28+273.15)))</f>
        <v>1171.7052017269605</v>
      </c>
      <c r="L28" s="504">
        <f>J5-(J5-N5)*(H8+H9+H11+H13+H15+H17+H19+H21+H23+H25+H27)/F39</f>
        <v>1012.7180581886462</v>
      </c>
      <c r="M28" s="495" t="str">
        <f>IF(L28/K28&lt;1,"○","×")</f>
        <v>○</v>
      </c>
      <c r="N28" s="494">
        <f>IF(L28/K28&gt;1,1,L28/K28)</f>
        <v>0.86431131029888297</v>
      </c>
      <c r="O28" s="496">
        <f>EXP(1.32774+7.80136*10^-2*I28-2.87894*10^-4*I28^2+1.36152*10^-6*I28^3+3.49024*10^-9*I28^4-4.87306*10^-3*ABS(I28))</f>
        <v>7.2729961141877615</v>
      </c>
      <c r="P28" s="497">
        <f t="shared" ref="P28" si="19">O28*N28</f>
        <v>6.2861328012523083</v>
      </c>
      <c r="Q28" s="497">
        <f t="shared" ref="Q28" si="20">1.005*I28+(O28/1000)*(2501.1+1.846*I28)</f>
        <v>27.661851923884161</v>
      </c>
      <c r="R28" s="16"/>
      <c r="S28" s="6" t="s">
        <v>289</v>
      </c>
      <c r="T28" s="31">
        <v>-3</v>
      </c>
      <c r="U28" s="16" t="s">
        <v>9</v>
      </c>
      <c r="V28" s="39" t="s">
        <v>311</v>
      </c>
      <c r="W28" s="331" t="s">
        <v>289</v>
      </c>
      <c r="X28" s="332">
        <v>-2.7</v>
      </c>
      <c r="Y28" s="311" t="s">
        <v>9</v>
      </c>
      <c r="Z28" s="334" t="s">
        <v>311</v>
      </c>
    </row>
    <row r="29" spans="1:32" ht="12" customHeight="1" x14ac:dyDescent="0.25">
      <c r="A29" s="545" t="s">
        <v>586</v>
      </c>
      <c r="B29" s="547"/>
      <c r="C29" s="548"/>
      <c r="D29" s="534" t="str">
        <f>IF(B29="","",VLOOKUP(B29,素材データ!$A$5:$AA$384,2,FALSE))</f>
        <v/>
      </c>
      <c r="E29" s="534" t="str">
        <f>IF(B29="","",VLOOKUP(B29,素材データ!$A$5:$AA$384,4,FALSE))</f>
        <v/>
      </c>
      <c r="F29" s="523"/>
      <c r="G29" s="525">
        <f>IF(D29="",0,IF(D29=0,VLOOKUP(B29,素材データ!$A$5:$AA$364,9,FALSE),IF(D29=0,0,F29/D29/1000)))</f>
        <v>0</v>
      </c>
      <c r="H29" s="532">
        <f>IF(E29="",0,IF(E29=0,VLOOKUP(B29,素材データ!$A$5:$AA$364,11,FALSE),E29*F29/1000))</f>
        <v>0</v>
      </c>
      <c r="I29" s="531"/>
      <c r="J29" s="520"/>
      <c r="K29" s="519"/>
      <c r="L29" s="504"/>
      <c r="M29" s="495"/>
      <c r="N29" s="494"/>
      <c r="O29" s="496"/>
      <c r="P29" s="496"/>
      <c r="Q29" s="496"/>
      <c r="R29" s="30"/>
      <c r="S29" s="6" t="s">
        <v>290</v>
      </c>
      <c r="T29" s="31">
        <v>0.7</v>
      </c>
      <c r="U29" s="16" t="s">
        <v>68</v>
      </c>
      <c r="V29" s="32" t="s">
        <v>632</v>
      </c>
      <c r="W29" s="331" t="s">
        <v>290</v>
      </c>
      <c r="X29" s="332">
        <v>1</v>
      </c>
      <c r="Y29" s="311" t="s">
        <v>9</v>
      </c>
      <c r="Z29" s="333" t="s">
        <v>651</v>
      </c>
    </row>
    <row r="30" spans="1:32" ht="12" customHeight="1" x14ac:dyDescent="0.25">
      <c r="A30" s="546"/>
      <c r="B30" s="549"/>
      <c r="C30" s="550"/>
      <c r="D30" s="535"/>
      <c r="E30" s="535"/>
      <c r="F30" s="524"/>
      <c r="G30" s="526"/>
      <c r="H30" s="533"/>
      <c r="I30" s="531">
        <f>J3-(J3-N3)*(G8+G9+G11+G13+G15+G17+G19+G21+G23+G25+G27+G29)/F34</f>
        <v>9.3000000000000007</v>
      </c>
      <c r="J30" s="520">
        <f>237.3/((7.5/LOG10(L30/611))-1)</f>
        <v>7.1525963981427259</v>
      </c>
      <c r="K30" s="519">
        <f>EXP(-6096.938/(I30+273.15)+21.2409642-2.711193*10^-2*(I30+273.15)+1.673952*10^-5*(I30+273.15)^2+2.433502*LN((I30+273.15)))</f>
        <v>1171.7052017269605</v>
      </c>
      <c r="L30" s="504">
        <f>J5-(J5-N5)*(H8+H9+H11+H13+H15+H17+H19+H21+H23+H25+H27+H29)/F39</f>
        <v>1012.7180581886462</v>
      </c>
      <c r="M30" s="495" t="str">
        <f>IF(L30/K30&lt;1,"○","×")</f>
        <v>○</v>
      </c>
      <c r="N30" s="494">
        <f>IF(L30/K30&gt;1,1,L30/K30)</f>
        <v>0.86431131029888297</v>
      </c>
      <c r="O30" s="496">
        <f>EXP(1.32774+7.80136*10^-2*I30-2.87894*10^-4*I30^2+1.36152*10^-6*I30^3+3.49024*10^-9*I30^4-4.87306*10^-3*ABS(I30))</f>
        <v>7.2729961141877615</v>
      </c>
      <c r="P30" s="497">
        <f t="shared" ref="P30" si="21">O30*N30</f>
        <v>6.2861328012523083</v>
      </c>
      <c r="Q30" s="497">
        <f t="shared" ref="Q30" si="22">1.005*I30+(O30/1000)*(2501.1+1.846*I30)</f>
        <v>27.661851923884161</v>
      </c>
      <c r="R30" s="30"/>
      <c r="S30" s="11" t="s">
        <v>291</v>
      </c>
      <c r="T30" s="48">
        <v>12.1</v>
      </c>
      <c r="U30" s="60" t="s">
        <v>68</v>
      </c>
      <c r="V30" s="49" t="s">
        <v>306</v>
      </c>
      <c r="W30" s="335" t="s">
        <v>291</v>
      </c>
      <c r="X30" s="336">
        <v>11.8</v>
      </c>
      <c r="Y30" s="354" t="s">
        <v>9</v>
      </c>
      <c r="Z30" s="337" t="s">
        <v>306</v>
      </c>
    </row>
    <row r="31" spans="1:32" ht="12" customHeight="1" x14ac:dyDescent="0.25">
      <c r="A31" s="545" t="s">
        <v>587</v>
      </c>
      <c r="B31" s="547"/>
      <c r="C31" s="548"/>
      <c r="D31" s="534" t="str">
        <f>IF(B31="","",VLOOKUP(B31,素材データ!$A$5:$AA$384,2,FALSE))</f>
        <v/>
      </c>
      <c r="E31" s="534" t="str">
        <f>IF(B31="","",VLOOKUP(B31,素材データ!$A$5:$AA$384,4,FALSE))</f>
        <v/>
      </c>
      <c r="F31" s="523"/>
      <c r="G31" s="525">
        <f>IF(D31="",0,IF(D31=0,VLOOKUP(B31,素材データ!$A$5:$AA$364,9,FALSE),IF(D31=0,0,F31/D31/1000)))</f>
        <v>0</v>
      </c>
      <c r="H31" s="532">
        <f>IF(E31="",0,IF(E31=0,VLOOKUP(B31,素材データ!$A$5:$AA$364,11,FALSE),E31*F31/1000))</f>
        <v>0</v>
      </c>
      <c r="I31" s="531"/>
      <c r="J31" s="520"/>
      <c r="K31" s="519"/>
      <c r="L31" s="504"/>
      <c r="M31" s="495"/>
      <c r="N31" s="494"/>
      <c r="O31" s="496"/>
      <c r="P31" s="496"/>
      <c r="Q31" s="496"/>
      <c r="R31" s="16"/>
      <c r="S31" s="13" t="s">
        <v>0</v>
      </c>
      <c r="V31" s="13" t="s">
        <v>1</v>
      </c>
      <c r="Z31" s="13"/>
      <c r="AB31" s="3"/>
    </row>
    <row r="32" spans="1:32" ht="12" customHeight="1" x14ac:dyDescent="0.25">
      <c r="A32" s="546"/>
      <c r="B32" s="549"/>
      <c r="C32" s="550"/>
      <c r="D32" s="535"/>
      <c r="E32" s="535"/>
      <c r="F32" s="524"/>
      <c r="G32" s="526"/>
      <c r="H32" s="533"/>
      <c r="I32" s="531">
        <f>J3-(J3-N3)*(G8+G9+G11+G13+G15+G17+G19+G21+G23+G25+G27+G29+G31)/F34</f>
        <v>9.3000000000000007</v>
      </c>
      <c r="J32" s="520">
        <f>237.3/((7.5/LOG10(L32/611))-1)</f>
        <v>7.1525963981427259</v>
      </c>
      <c r="K32" s="519">
        <f>EXP(-6096.938/(I32+273.15)+21.2409642-2.711193*10^-2*(I32+273.15)+1.673952*10^-5*(I32+273.15)^2+2.433502*LN((I32+273.15)))</f>
        <v>1171.7052017269605</v>
      </c>
      <c r="L32" s="504">
        <f>J5-(J5-N5)*(H8+H9+H11+H13+H15+H17+H19+H21+H23+H25+H27+H29+H31)/F39</f>
        <v>1012.7180581886462</v>
      </c>
      <c r="M32" s="495" t="str">
        <f>IF(L32/K32&lt;1,"○","×")</f>
        <v>○</v>
      </c>
      <c r="N32" s="494">
        <f>IF(L32/K32&gt;1,1,L32/K32)</f>
        <v>0.86431131029888297</v>
      </c>
      <c r="O32" s="496">
        <f>EXP(1.32774+7.80136*10^-2*I32-2.87894*10^-4*I32^2+1.36152*10^-6*I32^3+3.49024*10^-9*I32^4-4.87306*10^-3*ABS(I32))</f>
        <v>7.2729961141877615</v>
      </c>
      <c r="P32" s="497">
        <f t="shared" ref="P32" si="23">O32*N32</f>
        <v>6.2861328012523083</v>
      </c>
      <c r="Q32" s="497">
        <f t="shared" ref="Q32" si="24">1.005*I32+(O32/1000)*(2501.1+1.846*I32)</f>
        <v>27.661851923884161</v>
      </c>
      <c r="R32" s="16"/>
      <c r="S32" s="319" t="s">
        <v>271</v>
      </c>
      <c r="T32" s="320">
        <f>IF(F4="外壁",5,6)</f>
        <v>5</v>
      </c>
      <c r="U32" s="320"/>
      <c r="V32" s="321" t="s">
        <v>2</v>
      </c>
      <c r="W32" s="3"/>
      <c r="X32" s="318"/>
      <c r="Y32" s="318"/>
      <c r="Z32" s="13"/>
      <c r="AB32" s="3"/>
    </row>
    <row r="33" spans="1:32" ht="12" customHeight="1" x14ac:dyDescent="0.25">
      <c r="A33" s="454" t="s">
        <v>187</v>
      </c>
      <c r="B33" s="579" t="s">
        <v>5</v>
      </c>
      <c r="C33" s="580"/>
      <c r="D33" s="485" t="str">
        <f>F4</f>
        <v>外壁</v>
      </c>
      <c r="E33" s="570" t="s">
        <v>298</v>
      </c>
      <c r="F33" s="571"/>
      <c r="G33" s="486">
        <f>IF(AND(F4="外壁",E33="通気層工法(18mm以上)"),0.11,IF(AND(F4="外壁",E33="通気層工法(9mm以上)"),0.11,IF(AND(F4="外壁",E33="通気層なし"),0.04,IF(AND(F4="屋根",E33="通気層工法(18mm以上)"),0.09,IF(AND(F4="屋根",E33="通気層工法(9mm以上)"),0.09,IF(AND(F4="屋根",E33="通気層なし"),0.04,IF(F4="天井",0.09,IF(F4="床",0.15,0.11))))))))</f>
        <v>0.11</v>
      </c>
      <c r="H33" s="487">
        <f>IF(AND(F4="外壁",E33="通気層工法(18mm以上)"),1.8,IF(AND(F4="外壁",E33="通気層工法(9mm以上)"),3.6,IF(AND(F4="外壁",E33="通気層なし"),0.014,IF(AND(F4="屋根",E33="通気層工法(18mm以上)"),3.6,IF(AND(F4="屋根",E33="通気層工法(9mm以上)"),5.4,IF(AND(F4="屋根",E33="通気層なし"),0.014,IF(F4="天井",0.042,IF(F4="床",0.042,0.014))))))))*3600*10^-9/760*1.013*10^5</f>
        <v>8.6371578947368427E-4</v>
      </c>
      <c r="I33" s="581"/>
      <c r="J33" s="521"/>
      <c r="K33" s="522"/>
      <c r="L33" s="509"/>
      <c r="M33" s="508"/>
      <c r="N33" s="511"/>
      <c r="O33" s="510"/>
      <c r="P33" s="510"/>
      <c r="Q33" s="510"/>
      <c r="R33" s="16"/>
      <c r="S33" s="6" t="s">
        <v>272</v>
      </c>
      <c r="T33" s="318">
        <f>IF(F4="外壁",5,6)</f>
        <v>5</v>
      </c>
      <c r="V33" s="61"/>
      <c r="W33" s="3"/>
      <c r="X33" s="318"/>
      <c r="AB33" s="3"/>
    </row>
    <row r="34" spans="1:32" ht="15" customHeight="1" x14ac:dyDescent="0.25">
      <c r="A34" s="572" t="s">
        <v>7</v>
      </c>
      <c r="B34" s="569"/>
      <c r="C34" s="569"/>
      <c r="D34" s="459"/>
      <c r="E34" s="460"/>
      <c r="F34" s="575">
        <f>SUM(G8:G33)</f>
        <v>0.22</v>
      </c>
      <c r="G34" s="576"/>
      <c r="H34" s="63"/>
      <c r="M34" s="62"/>
      <c r="N34" s="62"/>
      <c r="O34" s="64"/>
      <c r="P34" s="62"/>
      <c r="Q34" s="62"/>
      <c r="R34" s="46"/>
      <c r="S34" s="6" t="s">
        <v>273</v>
      </c>
      <c r="T34" s="318">
        <f>IF(F4="外壁",5,6)</f>
        <v>5</v>
      </c>
      <c r="U34" s="318"/>
      <c r="V34" s="32" t="s">
        <v>3</v>
      </c>
      <c r="W34" s="3"/>
      <c r="X34" s="318"/>
      <c r="Y34" s="318"/>
      <c r="Z34" s="13"/>
      <c r="AB34" s="3"/>
    </row>
    <row r="35" spans="1:32" ht="15" customHeight="1" x14ac:dyDescent="0.25">
      <c r="A35" s="573"/>
      <c r="B35" s="574"/>
      <c r="C35" s="574"/>
      <c r="D35" s="463"/>
      <c r="E35" s="464" t="s">
        <v>717</v>
      </c>
      <c r="F35" s="577"/>
      <c r="G35" s="578"/>
      <c r="H35" s="63"/>
      <c r="M35" s="62"/>
      <c r="N35" s="62"/>
      <c r="O35" s="64"/>
      <c r="P35" s="62"/>
      <c r="Q35" s="62"/>
      <c r="R35" s="46"/>
      <c r="S35" s="6" t="s">
        <v>274</v>
      </c>
      <c r="T35" s="318">
        <f>IF(F4="外壁",3,4)</f>
        <v>3</v>
      </c>
      <c r="U35" s="318"/>
      <c r="V35" s="32" t="s">
        <v>4</v>
      </c>
      <c r="W35" s="3"/>
      <c r="X35" s="318"/>
      <c r="Y35" s="318"/>
      <c r="Z35" s="13"/>
      <c r="AB35" s="3"/>
    </row>
    <row r="36" spans="1:32" ht="15" customHeight="1" x14ac:dyDescent="0.25">
      <c r="A36" s="568" t="s">
        <v>10</v>
      </c>
      <c r="B36" s="569"/>
      <c r="C36" s="569"/>
      <c r="D36" s="459"/>
      <c r="E36" s="474"/>
      <c r="F36" s="562">
        <f>1/F34</f>
        <v>4.5454545454545459</v>
      </c>
      <c r="G36" s="563"/>
      <c r="H36" s="65"/>
      <c r="I36" s="483"/>
      <c r="J36" s="483"/>
      <c r="K36" s="484"/>
      <c r="L36" s="484"/>
      <c r="M36" s="62"/>
      <c r="N36" s="62"/>
      <c r="O36" s="66"/>
      <c r="P36" s="12" t="s">
        <v>571</v>
      </c>
      <c r="Q36" s="67">
        <f>IF(F4="外壁",5,6)</f>
        <v>5</v>
      </c>
      <c r="S36" s="6" t="s">
        <v>275</v>
      </c>
      <c r="T36" s="318">
        <f>IF(F4="外壁",2,3)</f>
        <v>2</v>
      </c>
      <c r="U36" s="318"/>
      <c r="V36" s="32" t="s">
        <v>6</v>
      </c>
      <c r="W36" s="3"/>
      <c r="X36" s="318"/>
      <c r="Y36" s="318"/>
      <c r="Z36" s="13"/>
      <c r="AB36" s="3"/>
    </row>
    <row r="37" spans="1:32" ht="15" customHeight="1" x14ac:dyDescent="0.25">
      <c r="A37" s="568"/>
      <c r="B37" s="569"/>
      <c r="C37" s="569"/>
      <c r="D37" s="459"/>
      <c r="E37" s="461" t="s">
        <v>716</v>
      </c>
      <c r="F37" s="562"/>
      <c r="G37" s="563"/>
      <c r="H37" s="65"/>
      <c r="I37" s="483"/>
      <c r="J37" s="483"/>
      <c r="K37" s="484"/>
      <c r="L37" s="484"/>
      <c r="M37" s="62"/>
      <c r="N37" s="62"/>
      <c r="O37" s="66"/>
      <c r="P37" s="12" t="s">
        <v>572</v>
      </c>
      <c r="Q37" s="68">
        <f>IF(F4="外壁",5,6)</f>
        <v>5</v>
      </c>
      <c r="S37" s="6" t="s">
        <v>289</v>
      </c>
      <c r="T37" s="318">
        <f>IF(F4="外壁",2,3)</f>
        <v>2</v>
      </c>
      <c r="V37" s="61"/>
      <c r="W37" s="3"/>
      <c r="X37" s="318"/>
      <c r="AB37" s="3"/>
    </row>
    <row r="38" spans="1:32" ht="15" customHeight="1" x14ac:dyDescent="0.25">
      <c r="A38" s="492" t="s">
        <v>303</v>
      </c>
      <c r="B38" s="490">
        <f>IF(J3&gt;N3,J3-N3,N3-J3)</f>
        <v>11.4</v>
      </c>
      <c r="C38" s="465" t="s">
        <v>707</v>
      </c>
      <c r="D38" s="489">
        <f>F36*B38*3600/1000</f>
        <v>186.54545454545459</v>
      </c>
      <c r="E38" s="466" t="s">
        <v>713</v>
      </c>
      <c r="F38" s="489">
        <f>D38*24</f>
        <v>4477.0909090909099</v>
      </c>
      <c r="G38" s="467" t="s">
        <v>714</v>
      </c>
      <c r="H38" s="65"/>
      <c r="I38" s="483"/>
      <c r="J38" s="483"/>
      <c r="K38" s="484"/>
      <c r="L38" s="484"/>
      <c r="M38" s="62"/>
      <c r="N38" s="62"/>
      <c r="O38" s="66"/>
      <c r="P38" s="12" t="s">
        <v>573</v>
      </c>
      <c r="Q38" s="68">
        <f>IF(F4="外壁",5,6)</f>
        <v>5</v>
      </c>
      <c r="S38" s="6" t="s">
        <v>290</v>
      </c>
      <c r="T38" s="318">
        <f>IF(F4="外壁",2,3)</f>
        <v>2</v>
      </c>
      <c r="U38" s="318"/>
      <c r="V38" s="32" t="s">
        <v>8</v>
      </c>
      <c r="W38" s="3"/>
      <c r="X38" s="318"/>
      <c r="Y38" s="318"/>
      <c r="Z38" s="13"/>
      <c r="AB38" s="3"/>
    </row>
    <row r="39" spans="1:32" ht="15" customHeight="1" x14ac:dyDescent="0.25">
      <c r="A39" s="572" t="s">
        <v>709</v>
      </c>
      <c r="B39" s="583"/>
      <c r="C39" s="583"/>
      <c r="D39" s="471"/>
      <c r="E39" s="472"/>
      <c r="F39" s="584">
        <f>SUM(H8:H33)</f>
        <v>8.8386915789473691E-4</v>
      </c>
      <c r="G39" s="585"/>
      <c r="H39" s="65"/>
      <c r="I39" s="483"/>
      <c r="J39" s="483"/>
      <c r="K39" s="484"/>
      <c r="L39" s="484"/>
      <c r="M39" s="62"/>
      <c r="N39" s="62"/>
      <c r="O39" s="66"/>
      <c r="P39" s="12" t="s">
        <v>574</v>
      </c>
      <c r="Q39" s="68">
        <f>IF(F4="外壁",3,4)</f>
        <v>3</v>
      </c>
      <c r="S39" s="11" t="s">
        <v>291</v>
      </c>
      <c r="T39" s="60" t="s">
        <v>9</v>
      </c>
      <c r="U39" s="60"/>
      <c r="V39" s="49"/>
      <c r="W39" s="3"/>
      <c r="X39" s="16"/>
      <c r="Z39" s="13"/>
    </row>
    <row r="40" spans="1:32" ht="15" customHeight="1" x14ac:dyDescent="0.25">
      <c r="A40" s="573"/>
      <c r="B40" s="574"/>
      <c r="C40" s="574"/>
      <c r="D40" s="463"/>
      <c r="E40" s="464"/>
      <c r="F40" s="586"/>
      <c r="G40" s="587"/>
      <c r="H40" s="65"/>
      <c r="I40" s="483"/>
      <c r="J40" s="483"/>
      <c r="K40" s="484"/>
      <c r="L40" s="484"/>
      <c r="M40" s="62"/>
      <c r="N40" s="62"/>
      <c r="O40" s="66"/>
      <c r="P40" s="12" t="s">
        <v>575</v>
      </c>
      <c r="Q40" s="68">
        <f>IF(F4="外壁",2,3)</f>
        <v>2</v>
      </c>
      <c r="S40" s="13" t="s">
        <v>11</v>
      </c>
    </row>
    <row r="41" spans="1:32" ht="15" customHeight="1" x14ac:dyDescent="0.25">
      <c r="A41" s="568" t="s">
        <v>710</v>
      </c>
      <c r="B41" s="569"/>
      <c r="C41" s="569"/>
      <c r="D41" s="459"/>
      <c r="E41" s="460"/>
      <c r="F41" s="589">
        <f>1/F39</f>
        <v>1131.3891779885971</v>
      </c>
      <c r="G41" s="590"/>
      <c r="H41" s="65"/>
      <c r="I41" s="483"/>
      <c r="J41" s="483"/>
      <c r="K41" s="484"/>
      <c r="L41" s="484"/>
      <c r="M41" s="62"/>
      <c r="N41" s="62"/>
      <c r="O41" s="66"/>
      <c r="P41" s="12" t="s">
        <v>576</v>
      </c>
      <c r="Q41" s="68">
        <f>IF(F4="外壁",2,3)</f>
        <v>2</v>
      </c>
      <c r="S41" s="315" t="s">
        <v>12</v>
      </c>
      <c r="T41" s="316"/>
      <c r="U41" s="316" t="s">
        <v>634</v>
      </c>
      <c r="V41" s="312"/>
      <c r="W41" s="56"/>
      <c r="Y41" s="13"/>
    </row>
    <row r="42" spans="1:32" ht="15" customHeight="1" x14ac:dyDescent="0.25">
      <c r="A42" s="568"/>
      <c r="B42" s="569"/>
      <c r="C42" s="569"/>
      <c r="D42" s="462"/>
      <c r="E42" s="461"/>
      <c r="F42" s="589"/>
      <c r="G42" s="590"/>
      <c r="H42" s="65"/>
      <c r="I42" s="483"/>
      <c r="J42" s="483"/>
      <c r="K42" s="484"/>
      <c r="L42" s="484"/>
      <c r="M42" s="62"/>
      <c r="N42" s="62"/>
      <c r="O42" s="66"/>
      <c r="P42" s="12" t="s">
        <v>577</v>
      </c>
      <c r="Q42" s="68">
        <f>IF(F4="外壁",2,3)</f>
        <v>2</v>
      </c>
      <c r="S42" s="63" t="s">
        <v>13</v>
      </c>
      <c r="T42" s="16"/>
      <c r="X42" s="16"/>
    </row>
    <row r="43" spans="1:32" ht="15" customHeight="1" x14ac:dyDescent="0.25">
      <c r="A43" s="96" t="s">
        <v>711</v>
      </c>
      <c r="B43" s="491">
        <f>IF(J5&gt;N5,J5-N5,N5-J5)</f>
        <v>469.78525078023483</v>
      </c>
      <c r="C43" s="473" t="s">
        <v>708</v>
      </c>
      <c r="D43" s="488">
        <f>F41*B43*3600*10^-9</f>
        <v>1.9134358153611006</v>
      </c>
      <c r="E43" s="98" t="s">
        <v>712</v>
      </c>
      <c r="F43" s="488">
        <f>D43*24</f>
        <v>45.922459568666412</v>
      </c>
      <c r="G43" s="99" t="s">
        <v>715</v>
      </c>
      <c r="H43" s="65"/>
      <c r="I43" s="483"/>
      <c r="J43" s="483"/>
      <c r="K43" s="484"/>
      <c r="L43" s="484"/>
      <c r="M43" s="62"/>
      <c r="N43" s="62"/>
      <c r="O43" s="66"/>
      <c r="P43" s="12" t="s">
        <v>578</v>
      </c>
      <c r="Q43" s="72" t="s">
        <v>100</v>
      </c>
      <c r="S43" s="63" t="s">
        <v>14</v>
      </c>
      <c r="U43" s="13" t="s">
        <v>15</v>
      </c>
      <c r="Y43" s="13"/>
    </row>
    <row r="44" spans="1:32" ht="15" customHeight="1" x14ac:dyDescent="0.25">
      <c r="A44" s="591" t="s">
        <v>102</v>
      </c>
      <c r="B44" s="592"/>
      <c r="C44" s="468" t="s">
        <v>103</v>
      </c>
      <c r="D44" s="469">
        <f>$T$22</f>
        <v>15</v>
      </c>
      <c r="E44" s="470" t="s">
        <v>104</v>
      </c>
      <c r="F44" s="469">
        <f>$D$264-($J3-$D45)*G8/$F34</f>
        <v>6</v>
      </c>
      <c r="G44" s="595" t="str">
        <f>IF(F45&lt;F44,"○","×")</f>
        <v>×</v>
      </c>
      <c r="H44" s="63"/>
      <c r="M44" s="75"/>
      <c r="N44" s="75"/>
      <c r="O44" s="76"/>
      <c r="Q44" s="75"/>
      <c r="R44" s="47"/>
      <c r="S44" s="317" t="s">
        <v>99</v>
      </c>
      <c r="T44" s="70"/>
      <c r="U44" s="69"/>
      <c r="V44" s="60"/>
      <c r="W44" s="56"/>
      <c r="X44" s="73"/>
      <c r="Y44" s="56"/>
    </row>
    <row r="45" spans="1:32" ht="15" customHeight="1" x14ac:dyDescent="0.25">
      <c r="A45" s="593"/>
      <c r="B45" s="594"/>
      <c r="C45" s="455" t="s">
        <v>55</v>
      </c>
      <c r="D45" s="456">
        <f>VLOOKUP(E4,$S$23:$U$30,2,FALSE)</f>
        <v>-3</v>
      </c>
      <c r="E45" s="457" t="s">
        <v>16</v>
      </c>
      <c r="F45" s="458">
        <f>237.3/((7.5/LOG10(((6.11*10^(7.5*$T$22/($T$22+237.3))*$U$22/100)-((6.11*10^(7.5*$T$22/($T$22+237.3))*$U$22/100)-(6.11*10^(7.5*$D45/($D45+237.3))*$N4/100))*H8/F39)/6.11))-1)</f>
        <v>7.0843168861848973</v>
      </c>
      <c r="G45" s="596"/>
      <c r="H45" s="52"/>
      <c r="I45" s="77"/>
      <c r="J45" s="77"/>
      <c r="K45" s="77"/>
      <c r="L45" s="77"/>
      <c r="M45" s="78"/>
      <c r="N45" s="78"/>
      <c r="O45" s="79"/>
      <c r="P45" s="75"/>
      <c r="Q45" s="75"/>
      <c r="R45" s="50"/>
      <c r="S45" s="56" t="s">
        <v>101</v>
      </c>
      <c r="T45" s="73"/>
      <c r="U45" s="56" t="s">
        <v>54</v>
      </c>
      <c r="V45" s="74"/>
      <c r="W45" s="56"/>
      <c r="X45" s="73"/>
      <c r="Y45" s="56"/>
      <c r="Z45" s="74"/>
    </row>
    <row r="46" spans="1:32" ht="10.5" customHeight="1" x14ac:dyDescent="0.25">
      <c r="A46" s="582"/>
      <c r="B46" s="582"/>
      <c r="C46" s="82"/>
      <c r="D46" s="83"/>
      <c r="E46" s="588"/>
      <c r="F46" s="588"/>
      <c r="G46" s="588"/>
      <c r="H46" s="84"/>
      <c r="I46" s="84"/>
      <c r="J46" s="84"/>
      <c r="K46" s="84"/>
      <c r="L46" s="84"/>
      <c r="M46" s="85"/>
      <c r="N46" s="85"/>
      <c r="O46" s="85"/>
      <c r="P46" s="85"/>
      <c r="Q46" s="85"/>
      <c r="S46" s="355" t="s">
        <v>105</v>
      </c>
      <c r="T46" s="356"/>
      <c r="U46" s="316">
        <v>4.2000000000000003E-2</v>
      </c>
      <c r="V46" s="321" t="s">
        <v>106</v>
      </c>
      <c r="W46" s="82"/>
      <c r="X46" s="82"/>
      <c r="Y46" s="13"/>
      <c r="Z46" s="13"/>
    </row>
    <row r="47" spans="1:32" ht="12" customHeight="1" x14ac:dyDescent="0.25">
      <c r="A47" s="505" t="s">
        <v>188</v>
      </c>
      <c r="B47" s="551"/>
      <c r="C47" s="552"/>
      <c r="D47" s="553"/>
      <c r="E47" s="476" t="s">
        <v>276</v>
      </c>
      <c r="F47" s="477" t="s">
        <v>111</v>
      </c>
      <c r="G47" s="478" t="s">
        <v>190</v>
      </c>
      <c r="H47" s="505" t="s">
        <v>191</v>
      </c>
      <c r="I47" s="479" t="s">
        <v>192</v>
      </c>
      <c r="J47" s="517">
        <f>IF(G48="冬型結露",$T$3,26)</f>
        <v>15</v>
      </c>
      <c r="K47" s="518"/>
      <c r="L47" s="505" t="s">
        <v>193</v>
      </c>
      <c r="M47" s="479" t="s">
        <v>192</v>
      </c>
      <c r="N47" s="517">
        <f>IF(G48="夏型結露",VLOOKUP(F48,$S$16:$U$19,2,FALSE),VLOOKUP(E48,$S$5:$U$12,2,FALSE))</f>
        <v>3.6</v>
      </c>
      <c r="O47" s="518"/>
      <c r="P47" s="19"/>
      <c r="Q47" s="19"/>
      <c r="R47" s="16"/>
      <c r="S47" s="80" t="s">
        <v>17</v>
      </c>
      <c r="T47" s="81"/>
      <c r="U47" s="77">
        <v>1.4E-2</v>
      </c>
      <c r="V47" s="49" t="s">
        <v>106</v>
      </c>
      <c r="W47" s="82"/>
      <c r="X47" s="82"/>
      <c r="Y47" s="13"/>
      <c r="Z47" s="13"/>
      <c r="AB47" s="16" t="s">
        <v>73</v>
      </c>
      <c r="AC47" s="16" t="s">
        <v>194</v>
      </c>
      <c r="AD47" s="16" t="s">
        <v>195</v>
      </c>
      <c r="AE47" s="16" t="s">
        <v>196</v>
      </c>
      <c r="AF47" s="16" t="s">
        <v>197</v>
      </c>
    </row>
    <row r="48" spans="1:32" ht="12" customHeight="1" x14ac:dyDescent="0.25">
      <c r="A48" s="506"/>
      <c r="B48" s="554"/>
      <c r="C48" s="555"/>
      <c r="D48" s="556"/>
      <c r="E48" s="536" t="s">
        <v>38</v>
      </c>
      <c r="F48" s="527" t="s">
        <v>53</v>
      </c>
      <c r="G48" s="538" t="s">
        <v>52</v>
      </c>
      <c r="H48" s="506"/>
      <c r="I48" s="21" t="s">
        <v>198</v>
      </c>
      <c r="J48" s="515">
        <f>IF(G48="冬型結露",$U$3,60)</f>
        <v>60</v>
      </c>
      <c r="K48" s="516"/>
      <c r="L48" s="506"/>
      <c r="M48" s="21" t="s">
        <v>198</v>
      </c>
      <c r="N48" s="515">
        <f>IF(G48="夏型結露",VLOOKUP(F48,$S$16:$U$19,3,FALSE),VLOOKUP(E48,$S$5:$U$12,3,FALSE))</f>
        <v>70</v>
      </c>
      <c r="O48" s="516"/>
      <c r="P48" s="22"/>
      <c r="Q48" s="22"/>
      <c r="R48" s="30"/>
      <c r="S48" s="63" t="s">
        <v>18</v>
      </c>
      <c r="U48" s="86">
        <v>0.05</v>
      </c>
      <c r="V48" s="39" t="s">
        <v>19</v>
      </c>
      <c r="Y48" s="86"/>
      <c r="Z48" s="56"/>
      <c r="AD48" s="26">
        <v>0</v>
      </c>
      <c r="AE48" s="26">
        <f>J47</f>
        <v>15</v>
      </c>
      <c r="AF48" s="26">
        <f>237.3/((7.5/LOG10(J49/611))-1)</f>
        <v>7.3061185391618908</v>
      </c>
    </row>
    <row r="49" spans="1:32" ht="12" customHeight="1" x14ac:dyDescent="0.25">
      <c r="A49" s="507"/>
      <c r="B49" s="557"/>
      <c r="C49" s="558"/>
      <c r="D49" s="559"/>
      <c r="E49" s="537"/>
      <c r="F49" s="528"/>
      <c r="G49" s="539"/>
      <c r="H49" s="507"/>
      <c r="I49" s="27" t="s">
        <v>201</v>
      </c>
      <c r="J49" s="513">
        <f>EXP(-6096.938/(J47+273.15)+21.2409642-2.711193*10^-2*(J47+273.15)+1.673952*10^-5*(J47+273.15)^2+2.433502*LN((J47+273.15)))*J48/100</f>
        <v>1023.4297740044822</v>
      </c>
      <c r="K49" s="514"/>
      <c r="L49" s="507"/>
      <c r="M49" s="28" t="s">
        <v>201</v>
      </c>
      <c r="N49" s="513">
        <f>EXP(-6096.938/(N47+273.15)+21.2409642-2.711193*10^-2*(N47+273.15)+1.673952*10^-5*(N47+273.15)^2+2.433502*LN((N47+273.15)))*N48/100</f>
        <v>553.64452322424734</v>
      </c>
      <c r="O49" s="514"/>
      <c r="P49" s="29"/>
      <c r="Q49" s="29"/>
      <c r="R49" s="16"/>
      <c r="S49" s="63" t="s">
        <v>20</v>
      </c>
      <c r="U49" s="86">
        <v>7.0999999999999994E-2</v>
      </c>
      <c r="V49" s="39" t="s">
        <v>21</v>
      </c>
      <c r="Y49" s="86"/>
      <c r="Z49" s="56"/>
      <c r="AD49" s="26">
        <v>47</v>
      </c>
      <c r="AE49" s="26">
        <f>J47</f>
        <v>15</v>
      </c>
      <c r="AF49" s="26">
        <f>237.3/((7.5/LOG10(J49/611))-1)</f>
        <v>7.3061185391618908</v>
      </c>
    </row>
    <row r="50" spans="1:32" ht="12" customHeight="1" x14ac:dyDescent="0.25">
      <c r="A50" s="506" t="s">
        <v>286</v>
      </c>
      <c r="B50" s="564" t="s">
        <v>296</v>
      </c>
      <c r="C50" s="565"/>
      <c r="D50" s="35" t="s">
        <v>293</v>
      </c>
      <c r="E50" s="33" t="s">
        <v>203</v>
      </c>
      <c r="F50" s="36" t="s">
        <v>294</v>
      </c>
      <c r="G50" s="37" t="s">
        <v>295</v>
      </c>
      <c r="H50" s="37" t="s">
        <v>204</v>
      </c>
      <c r="I50" s="34" t="s">
        <v>196</v>
      </c>
      <c r="J50" s="34" t="s">
        <v>197</v>
      </c>
      <c r="K50" s="35" t="s">
        <v>205</v>
      </c>
      <c r="L50" s="36" t="s">
        <v>201</v>
      </c>
      <c r="M50" s="498" t="s">
        <v>206</v>
      </c>
      <c r="N50" s="480" t="s">
        <v>124</v>
      </c>
      <c r="O50" s="480" t="s">
        <v>207</v>
      </c>
      <c r="P50" s="38" t="s">
        <v>568</v>
      </c>
      <c r="Q50" s="38" t="s">
        <v>569</v>
      </c>
      <c r="R50" s="16"/>
      <c r="S50" s="63" t="s">
        <v>22</v>
      </c>
      <c r="U50" s="86">
        <v>0.06</v>
      </c>
      <c r="V50" s="39" t="s">
        <v>21</v>
      </c>
      <c r="Y50" s="86"/>
      <c r="Z50" s="56"/>
      <c r="AB50" s="16" t="s">
        <v>209</v>
      </c>
      <c r="AC50" s="13">
        <v>50</v>
      </c>
      <c r="AD50" s="26">
        <f>AC50</f>
        <v>50</v>
      </c>
      <c r="AE50" s="26">
        <f>I52</f>
        <v>9.3000000000000007</v>
      </c>
      <c r="AF50" s="26">
        <f>J52</f>
        <v>7.1525963981427259</v>
      </c>
    </row>
    <row r="51" spans="1:32" ht="12" customHeight="1" x14ac:dyDescent="0.25">
      <c r="A51" s="507"/>
      <c r="B51" s="566"/>
      <c r="C51" s="567"/>
      <c r="D51" s="42" t="s">
        <v>125</v>
      </c>
      <c r="E51" s="40" t="s">
        <v>210</v>
      </c>
      <c r="F51" s="43" t="s">
        <v>211</v>
      </c>
      <c r="G51" s="44" t="s">
        <v>212</v>
      </c>
      <c r="H51" s="44" t="s">
        <v>213</v>
      </c>
      <c r="I51" s="41" t="s">
        <v>214</v>
      </c>
      <c r="J51" s="41" t="s">
        <v>215</v>
      </c>
      <c r="K51" s="42" t="s">
        <v>216</v>
      </c>
      <c r="L51" s="43" t="s">
        <v>216</v>
      </c>
      <c r="M51" s="499"/>
      <c r="N51" s="44" t="s">
        <v>113</v>
      </c>
      <c r="O51" s="44" t="s">
        <v>217</v>
      </c>
      <c r="P51" s="44" t="s">
        <v>217</v>
      </c>
      <c r="Q51" s="44" t="s">
        <v>570</v>
      </c>
      <c r="R51" s="30"/>
      <c r="S51" s="87" t="s">
        <v>23</v>
      </c>
      <c r="T51" s="88"/>
      <c r="U51" s="89">
        <v>0.06</v>
      </c>
      <c r="V51" s="90" t="s">
        <v>21</v>
      </c>
      <c r="Y51" s="86"/>
      <c r="Z51" s="56"/>
      <c r="AB51" s="16">
        <v>1</v>
      </c>
      <c r="AC51" s="45">
        <f>F53</f>
        <v>0</v>
      </c>
      <c r="AD51" s="26">
        <f>AC51+AD50</f>
        <v>50</v>
      </c>
      <c r="AE51" s="26">
        <f>I54</f>
        <v>9.3000000000000007</v>
      </c>
      <c r="AF51" s="26">
        <f>J54</f>
        <v>7.1525963981427259</v>
      </c>
    </row>
    <row r="52" spans="1:32" s="16" customFormat="1" ht="12" customHeight="1" x14ac:dyDescent="0.25">
      <c r="A52" s="475" t="s">
        <v>186</v>
      </c>
      <c r="B52" s="540" t="s">
        <v>218</v>
      </c>
      <c r="C52" s="541"/>
      <c r="D52" s="542" t="str">
        <f>F48</f>
        <v>外壁</v>
      </c>
      <c r="E52" s="543"/>
      <c r="F52" s="544"/>
      <c r="G52" s="481">
        <f>IF(F48="屋根",0.09,IF(F48="外壁",0.11,IF(F48="天井",0.09,0.15)))</f>
        <v>0.11</v>
      </c>
      <c r="H52" s="482">
        <f>IF(F48="屋根",0.042,IF(F48="外壁",0.042,IF(F48="天井",0.042,0.042)))*3600*10^-9/760*1.013*10^5</f>
        <v>2.0153368421052633E-5</v>
      </c>
      <c r="I52" s="560">
        <f>J47-(J47-N47)*G52/F78</f>
        <v>9.3000000000000007</v>
      </c>
      <c r="J52" s="561">
        <f>237.3/((7.5/LOG10(L52/611))-1)</f>
        <v>7.1525963981427259</v>
      </c>
      <c r="K52" s="529">
        <f>EXP(-6096.938/(I52+273.15)+21.2409642-2.711193*10^-2*(I52+273.15)+1.673952*10^-5*(I52+273.15)^2+2.433502*LN((I52+273.15)))</f>
        <v>1171.7052017269605</v>
      </c>
      <c r="L52" s="530">
        <f>J49-(J49-N49)*H52/F83</f>
        <v>1012.7180581886462</v>
      </c>
      <c r="M52" s="512" t="str">
        <f>IF(L52/K52&lt;1,"○","×")</f>
        <v>○</v>
      </c>
      <c r="N52" s="500">
        <f>IF(L52/K52&gt;1,1,L52/K52)</f>
        <v>0.86431131029888297</v>
      </c>
      <c r="O52" s="501">
        <f>EXP(1.32774+7.80136*10^-2*I52-2.87894*10^-4*I52^2+1.36152*10^-6*I52^3+3.49024*10^-9*I52^4-4.87306*10^-3*ABS(I52))</f>
        <v>7.2729961141877615</v>
      </c>
      <c r="P52" s="497">
        <f>O52*N52</f>
        <v>6.2861328012523083</v>
      </c>
      <c r="Q52" s="497">
        <f>1.005*I52+(O52/1000)*(2501.1+1.846*I52)</f>
        <v>27.661851923884161</v>
      </c>
      <c r="S52" s="52" t="s">
        <v>24</v>
      </c>
      <c r="T52" s="77"/>
      <c r="U52" s="60"/>
      <c r="V52" s="71"/>
      <c r="W52" s="13"/>
      <c r="X52" s="13"/>
      <c r="AB52" s="16">
        <v>2</v>
      </c>
      <c r="AC52" s="45">
        <f>F55</f>
        <v>0</v>
      </c>
      <c r="AD52" s="26">
        <f>AD51+AC52</f>
        <v>50</v>
      </c>
      <c r="AE52" s="26">
        <f>I56</f>
        <v>9.3000000000000007</v>
      </c>
      <c r="AF52" s="26">
        <f>J56</f>
        <v>7.1525963981427259</v>
      </c>
    </row>
    <row r="53" spans="1:32" ht="12" customHeight="1" x14ac:dyDescent="0.25">
      <c r="A53" s="545" t="s">
        <v>119</v>
      </c>
      <c r="B53" s="547"/>
      <c r="C53" s="548"/>
      <c r="D53" s="534" t="str">
        <f>IF(B53="","",VLOOKUP(B53,素材データ!$A$5:$AA$384,2,FALSE))</f>
        <v/>
      </c>
      <c r="E53" s="534" t="str">
        <f>IF(B53="","",VLOOKUP(B53,素材データ!$A$5:$AA$384,4,FALSE))</f>
        <v/>
      </c>
      <c r="F53" s="523"/>
      <c r="G53" s="525">
        <f>IF(D53="",0,IF(D53=0,VLOOKUP(B53,素材データ!$A$5:$AA$364,9,FALSE),IF(D53=0,0,F53/D53/1000)))</f>
        <v>0</v>
      </c>
      <c r="H53" s="532">
        <f>IF(E53="",0,IF(E53=0,VLOOKUP(B53,素材データ!$A$5:$AA$364,11,FALSE),E53*F53/1000))</f>
        <v>0</v>
      </c>
      <c r="I53" s="531"/>
      <c r="J53" s="520"/>
      <c r="K53" s="519"/>
      <c r="L53" s="504"/>
      <c r="M53" s="495"/>
      <c r="N53" s="494"/>
      <c r="O53" s="496"/>
      <c r="P53" s="496"/>
      <c r="Q53" s="496"/>
      <c r="R53" s="46"/>
      <c r="U53" s="493"/>
      <c r="V53" s="493"/>
      <c r="Y53" s="503"/>
      <c r="Z53" s="503"/>
      <c r="AB53" s="16">
        <v>3</v>
      </c>
      <c r="AC53" s="45">
        <f>F57</f>
        <v>0</v>
      </c>
      <c r="AD53" s="26">
        <f>AD52+AC53</f>
        <v>50</v>
      </c>
      <c r="AE53" s="26">
        <f>I58</f>
        <v>9.3000000000000007</v>
      </c>
      <c r="AF53" s="26">
        <f>J58</f>
        <v>7.1525963981427259</v>
      </c>
    </row>
    <row r="54" spans="1:32" ht="12" customHeight="1" x14ac:dyDescent="0.25">
      <c r="A54" s="546"/>
      <c r="B54" s="549"/>
      <c r="C54" s="550"/>
      <c r="D54" s="535"/>
      <c r="E54" s="535"/>
      <c r="F54" s="524"/>
      <c r="G54" s="526"/>
      <c r="H54" s="533"/>
      <c r="I54" s="531">
        <f>J47-(J47-N47)*(G52+G53)/F78</f>
        <v>9.3000000000000007</v>
      </c>
      <c r="J54" s="520">
        <f>237.3/((7.5/LOG10(L54/611))-1)</f>
        <v>7.1525963981427259</v>
      </c>
      <c r="K54" s="519">
        <f>EXP(-6096.938/(I54+273.15)+21.2409642-2.711193*10^-2*(I54+273.15)+1.673952*10^-5*(I54+273.15)^2+2.433502*LN((I54+273.15)))</f>
        <v>1171.7052017269605</v>
      </c>
      <c r="L54" s="504">
        <f>J49-(J49-N49)*(H52+H53)/F83</f>
        <v>1012.7180581886462</v>
      </c>
      <c r="M54" s="495" t="str">
        <f>IF(L54/K54&lt;1,"○","×")</f>
        <v>○</v>
      </c>
      <c r="N54" s="494">
        <f>IF(L54/K54&gt;1,1,L54/K54)</f>
        <v>0.86431131029888297</v>
      </c>
      <c r="O54" s="496">
        <f>EXP(1.32774+7.80136*10^-2*I54-2.87894*10^-4*I54^2+1.36152*10^-6*I54^3+3.49024*10^-9*I54^4-4.87306*10^-3*ABS(I54))</f>
        <v>7.2729961141877615</v>
      </c>
      <c r="P54" s="497">
        <f t="shared" ref="P54" si="25">O54*N54</f>
        <v>6.2861328012523083</v>
      </c>
      <c r="Q54" s="497">
        <f t="shared" ref="Q54" si="26">1.005*I54+(O54/1000)*(2501.1+1.846*I54)</f>
        <v>27.661851923884161</v>
      </c>
      <c r="R54" s="46"/>
      <c r="U54" s="493"/>
      <c r="V54" s="493"/>
      <c r="Y54" s="503"/>
      <c r="Z54" s="503"/>
      <c r="AB54" s="16">
        <v>4</v>
      </c>
      <c r="AC54" s="45">
        <f>F59</f>
        <v>0</v>
      </c>
      <c r="AD54" s="26">
        <f t="shared" ref="AD54:AD64" si="27">AD53+AC54</f>
        <v>50</v>
      </c>
      <c r="AE54" s="26">
        <f>I60</f>
        <v>9.3000000000000007</v>
      </c>
      <c r="AF54" s="26">
        <f>J60</f>
        <v>7.1525963981427259</v>
      </c>
    </row>
    <row r="55" spans="1:32" ht="12" customHeight="1" x14ac:dyDescent="0.25">
      <c r="A55" s="545" t="s">
        <v>120</v>
      </c>
      <c r="B55" s="547"/>
      <c r="C55" s="548"/>
      <c r="D55" s="534" t="str">
        <f>IF(B55="","",VLOOKUP(B55,素材データ!$A$5:$AA$384,2,FALSE))</f>
        <v/>
      </c>
      <c r="E55" s="534" t="str">
        <f>IF(B55="","",VLOOKUP(B55,素材データ!$A$5:$AA$384,4,FALSE))</f>
        <v/>
      </c>
      <c r="F55" s="523"/>
      <c r="G55" s="525">
        <f>IF(D55="",0,IF(D55=0,VLOOKUP(B55,素材データ!$A$5:$AA$364,9,FALSE),IF(D55=0,0,F55/D55/1000)))</f>
        <v>0</v>
      </c>
      <c r="H55" s="532">
        <f>IF(E55="",0,IF(E55=0,VLOOKUP(B55,素材データ!$A$5:$AA$364,11,FALSE),E55*F55/1000))</f>
        <v>0</v>
      </c>
      <c r="I55" s="531"/>
      <c r="J55" s="520"/>
      <c r="K55" s="519"/>
      <c r="L55" s="504"/>
      <c r="M55" s="495"/>
      <c r="N55" s="494"/>
      <c r="O55" s="496"/>
      <c r="P55" s="496"/>
      <c r="Q55" s="496"/>
      <c r="R55" s="47"/>
      <c r="Y55" s="503"/>
      <c r="Z55" s="503"/>
      <c r="AB55" s="16">
        <v>5</v>
      </c>
      <c r="AC55" s="45">
        <f>F61</f>
        <v>0</v>
      </c>
      <c r="AD55" s="26">
        <f t="shared" si="27"/>
        <v>50</v>
      </c>
      <c r="AE55" s="26">
        <f>I62</f>
        <v>9.3000000000000007</v>
      </c>
      <c r="AF55" s="26">
        <f>J62</f>
        <v>7.1525963981427259</v>
      </c>
    </row>
    <row r="56" spans="1:32" ht="12" customHeight="1" x14ac:dyDescent="0.25">
      <c r="A56" s="546"/>
      <c r="B56" s="549"/>
      <c r="C56" s="550"/>
      <c r="D56" s="535"/>
      <c r="E56" s="535"/>
      <c r="F56" s="524"/>
      <c r="G56" s="526"/>
      <c r="H56" s="533"/>
      <c r="I56" s="531">
        <f>J47-(J47-N47)*(G52+G53+G55)/F78</f>
        <v>9.3000000000000007</v>
      </c>
      <c r="J56" s="520">
        <f>237.3/((7.5/LOG10(L56/611))-1)</f>
        <v>7.1525963981427259</v>
      </c>
      <c r="K56" s="519">
        <f>EXP(-6096.938/(I56+273.15)+21.2409642-2.711193*10^-2*(I56+273.15)+1.673952*10^-5*(I56+273.15)^2+2.433502*LN((I56+273.15)))</f>
        <v>1171.7052017269605</v>
      </c>
      <c r="L56" s="504">
        <f>J49-(J49-N49)*(H52+H53+H55)/F83</f>
        <v>1012.7180581886462</v>
      </c>
      <c r="M56" s="495" t="str">
        <f>IF(L56/K56&lt;1,"○","×")</f>
        <v>○</v>
      </c>
      <c r="N56" s="494">
        <f>IF(L56/K56&gt;1,1,L56/K56)</f>
        <v>0.86431131029888297</v>
      </c>
      <c r="O56" s="496">
        <f>EXP(1.32774+7.80136*10^-2*I56-2.87894*10^-4*I56^2+1.36152*10^-6*I56^3+3.49024*10^-9*I56^4-4.87306*10^-3*ABS(I56))</f>
        <v>7.2729961141877615</v>
      </c>
      <c r="P56" s="497">
        <f t="shared" ref="P56" si="28">O56*N56</f>
        <v>6.2861328012523083</v>
      </c>
      <c r="Q56" s="497">
        <f t="shared" ref="Q56" si="29">1.005*I56+(O56/1000)*(2501.1+1.846*I56)</f>
        <v>27.661851923884161</v>
      </c>
      <c r="R56" s="47"/>
      <c r="Y56" s="503"/>
      <c r="Z56" s="503"/>
      <c r="AB56" s="16">
        <v>6</v>
      </c>
      <c r="AC56" s="45">
        <f>F63</f>
        <v>0</v>
      </c>
      <c r="AD56" s="26">
        <f t="shared" si="27"/>
        <v>50</v>
      </c>
      <c r="AE56" s="26">
        <f>I64</f>
        <v>9.3000000000000007</v>
      </c>
      <c r="AF56" s="26">
        <f>J64</f>
        <v>7.1525963981427259</v>
      </c>
    </row>
    <row r="57" spans="1:32" ht="12" customHeight="1" x14ac:dyDescent="0.25">
      <c r="A57" s="545" t="s">
        <v>121</v>
      </c>
      <c r="B57" s="547"/>
      <c r="C57" s="548"/>
      <c r="D57" s="534" t="str">
        <f>IF(B57="","",VLOOKUP(B57,素材データ!$A$5:$AA$384,2,FALSE))</f>
        <v/>
      </c>
      <c r="E57" s="534" t="str">
        <f>IF(B57="","",VLOOKUP(B57,素材データ!$A$5:$AA$384,4,FALSE))</f>
        <v/>
      </c>
      <c r="F57" s="523"/>
      <c r="G57" s="525">
        <f>IF(D57="",0,IF(D57=0,VLOOKUP(B57,素材データ!$A$5:$AA$364,9,FALSE),IF(D57=0,0,F57/D57/1000)))</f>
        <v>0</v>
      </c>
      <c r="H57" s="532">
        <f>IF(E57="",0,IF(E57=0,VLOOKUP(B57,素材データ!$A$5:$AA$364,11,FALSE),E57*F57/1000))</f>
        <v>0</v>
      </c>
      <c r="I57" s="531"/>
      <c r="J57" s="520"/>
      <c r="K57" s="519"/>
      <c r="L57" s="504"/>
      <c r="M57" s="495"/>
      <c r="N57" s="494"/>
      <c r="O57" s="496"/>
      <c r="P57" s="496"/>
      <c r="Q57" s="496"/>
      <c r="R57" s="50"/>
      <c r="U57" s="493"/>
      <c r="V57" s="493"/>
      <c r="Y57" s="493"/>
      <c r="Z57" s="493"/>
      <c r="AB57" s="16">
        <v>7</v>
      </c>
      <c r="AC57" s="45">
        <f>F65</f>
        <v>0</v>
      </c>
      <c r="AD57" s="26">
        <f t="shared" si="27"/>
        <v>50</v>
      </c>
      <c r="AE57" s="26">
        <f>I66</f>
        <v>9.3000000000000007</v>
      </c>
      <c r="AF57" s="26">
        <f>J66</f>
        <v>7.1525963981427259</v>
      </c>
    </row>
    <row r="58" spans="1:32" ht="12" customHeight="1" x14ac:dyDescent="0.25">
      <c r="A58" s="546"/>
      <c r="B58" s="549"/>
      <c r="C58" s="550"/>
      <c r="D58" s="535"/>
      <c r="E58" s="535"/>
      <c r="F58" s="524"/>
      <c r="G58" s="526"/>
      <c r="H58" s="533"/>
      <c r="I58" s="531">
        <f>J47-(J47-N47)*(G52+G53+G55+G57)/F78</f>
        <v>9.3000000000000007</v>
      </c>
      <c r="J58" s="520">
        <f>237.3/((7.5/LOG10(L58/611))-1)</f>
        <v>7.1525963981427259</v>
      </c>
      <c r="K58" s="519">
        <f>EXP(-6096.938/(I58+273.15)+21.2409642-2.711193*10^-2*(I58+273.15)+1.673952*10^-5*(I58+273.15)^2+2.433502*LN((I58+273.15)))</f>
        <v>1171.7052017269605</v>
      </c>
      <c r="L58" s="504">
        <f>J49-(J49-N49)*(H52+H53+H55+H57)/F83</f>
        <v>1012.7180581886462</v>
      </c>
      <c r="M58" s="495" t="str">
        <f>IF(L58/K58&lt;1,"○","×")</f>
        <v>○</v>
      </c>
      <c r="N58" s="494">
        <f>IF(L58/K58&gt;1,1,L58/K58)</f>
        <v>0.86431131029888297</v>
      </c>
      <c r="O58" s="496">
        <f>EXP(1.32774+7.80136*10^-2*I58-2.87894*10^-4*I58^2+1.36152*10^-6*I58^3+3.49024*10^-9*I58^4-4.87306*10^-3*ABS(I58))</f>
        <v>7.2729961141877615</v>
      </c>
      <c r="P58" s="497">
        <f t="shared" ref="P58" si="30">O58*N58</f>
        <v>6.2861328012523083</v>
      </c>
      <c r="Q58" s="497">
        <f t="shared" ref="Q58" si="31">1.005*I58+(O58/1000)*(2501.1+1.846*I58)</f>
        <v>27.661851923884161</v>
      </c>
      <c r="R58" s="50"/>
      <c r="U58" s="493"/>
      <c r="V58" s="493"/>
      <c r="Y58" s="493"/>
      <c r="Z58" s="493"/>
      <c r="AB58" s="16">
        <v>8</v>
      </c>
      <c r="AC58" s="45">
        <f>F67</f>
        <v>0</v>
      </c>
      <c r="AD58" s="26">
        <f t="shared" si="27"/>
        <v>50</v>
      </c>
      <c r="AE58" s="26">
        <f>I68</f>
        <v>9.3000000000000007</v>
      </c>
      <c r="AF58" s="26">
        <f>J68</f>
        <v>7.1525963981427259</v>
      </c>
    </row>
    <row r="59" spans="1:32" ht="12" customHeight="1" x14ac:dyDescent="0.25">
      <c r="A59" s="545" t="s">
        <v>122</v>
      </c>
      <c r="B59" s="547"/>
      <c r="C59" s="548"/>
      <c r="D59" s="534" t="str">
        <f>IF(B59="","",VLOOKUP(B59,素材データ!$A$5:$AA$384,2,FALSE))</f>
        <v/>
      </c>
      <c r="E59" s="534" t="str">
        <f>IF(B59="","",VLOOKUP(B59,素材データ!$A$5:$AA$384,4,FALSE))</f>
        <v/>
      </c>
      <c r="F59" s="523"/>
      <c r="G59" s="525">
        <f>IF(D59="",0,IF(D59=0,VLOOKUP(B59,素材データ!$A$5:$AA$364,9,FALSE),IF(D59=0,0,F59/D59/1000)))</f>
        <v>0</v>
      </c>
      <c r="H59" s="532">
        <f>IF(E59="",0,IF(E59=0,VLOOKUP(B59,素材データ!$A$5:$AA$364,11,FALSE),E59*F59/1000))</f>
        <v>0</v>
      </c>
      <c r="I59" s="531"/>
      <c r="J59" s="520"/>
      <c r="K59" s="519"/>
      <c r="L59" s="504"/>
      <c r="M59" s="495"/>
      <c r="N59" s="494"/>
      <c r="O59" s="496"/>
      <c r="P59" s="496"/>
      <c r="Q59" s="496"/>
      <c r="Z59" s="9"/>
      <c r="AB59" s="16">
        <v>9</v>
      </c>
      <c r="AC59" s="45">
        <f>F69</f>
        <v>0</v>
      </c>
      <c r="AD59" s="26">
        <f t="shared" si="27"/>
        <v>50</v>
      </c>
      <c r="AE59" s="26">
        <f>I70</f>
        <v>9.3000000000000007</v>
      </c>
      <c r="AF59" s="26">
        <f>J70</f>
        <v>7.1525963981427259</v>
      </c>
    </row>
    <row r="60" spans="1:32" ht="12" customHeight="1" x14ac:dyDescent="0.25">
      <c r="A60" s="546"/>
      <c r="B60" s="549"/>
      <c r="C60" s="550"/>
      <c r="D60" s="535"/>
      <c r="E60" s="535"/>
      <c r="F60" s="524"/>
      <c r="G60" s="526"/>
      <c r="H60" s="533"/>
      <c r="I60" s="531">
        <f>J47-(J47-N47)*(G52+G53+G55+G57+G59)/F78</f>
        <v>9.3000000000000007</v>
      </c>
      <c r="J60" s="520">
        <f>237.3/((7.5/LOG10(L60/611))-1)</f>
        <v>7.1525963981427259</v>
      </c>
      <c r="K60" s="519">
        <f>EXP(-6096.938/(I60+273.15)+21.2409642-2.711193*10^-2*(I60+273.15)+1.673952*10^-5*(I60+273.15)^2+2.433502*LN((I60+273.15)))</f>
        <v>1171.7052017269605</v>
      </c>
      <c r="L60" s="504">
        <f>J49-(J49-N49)*(H52+H53+H55+H57+H59)/F83</f>
        <v>1012.7180581886462</v>
      </c>
      <c r="M60" s="495" t="str">
        <f>IF(L60/K60&lt;1,"○","×")</f>
        <v>○</v>
      </c>
      <c r="N60" s="494">
        <f>IF(L60/K60&gt;1,1,L60/K60)</f>
        <v>0.86431131029888297</v>
      </c>
      <c r="O60" s="496">
        <f>EXP(1.32774+7.80136*10^-2*I60-2.87894*10^-4*I60^2+1.36152*10^-6*I60^3+3.49024*10^-9*I60^4-4.87306*10^-3*ABS(I60))</f>
        <v>7.2729961141877615</v>
      </c>
      <c r="P60" s="497">
        <f t="shared" ref="P60" si="32">O60*N60</f>
        <v>6.2861328012523083</v>
      </c>
      <c r="Q60" s="497">
        <f t="shared" ref="Q60" si="33">1.005*I60+(O60/1000)*(2501.1+1.846*I60)</f>
        <v>27.661851923884161</v>
      </c>
      <c r="Z60" s="56"/>
      <c r="AB60" s="16">
        <v>10</v>
      </c>
      <c r="AC60" s="45">
        <f>F71</f>
        <v>0</v>
      </c>
      <c r="AD60" s="26">
        <f t="shared" si="27"/>
        <v>50</v>
      </c>
      <c r="AE60" s="26">
        <f>I72</f>
        <v>9.3000000000000007</v>
      </c>
      <c r="AF60" s="26">
        <f>J72</f>
        <v>7.1525963981427259</v>
      </c>
    </row>
    <row r="61" spans="1:32" ht="12" customHeight="1" x14ac:dyDescent="0.25">
      <c r="A61" s="545" t="s">
        <v>123</v>
      </c>
      <c r="B61" s="547"/>
      <c r="C61" s="548"/>
      <c r="D61" s="534" t="str">
        <f>IF(B61="","",VLOOKUP(B61,素材データ!$A$5:$AA$384,2,FALSE))</f>
        <v/>
      </c>
      <c r="E61" s="534" t="str">
        <f>IF(B61="","",VLOOKUP(B61,素材データ!$A$5:$AA$384,4,FALSE))</f>
        <v/>
      </c>
      <c r="F61" s="523"/>
      <c r="G61" s="525">
        <f>IF(D61="",0,IF(D61=0,VLOOKUP(B61,素材データ!$A$5:$AA$364,9,FALSE),IF(D61=0,0,F61/D61/1000)))</f>
        <v>0</v>
      </c>
      <c r="H61" s="532">
        <f>IF(E61="",0,IF(E61=0,VLOOKUP(B61,素材データ!$A$5:$AA$364,11,FALSE),E61*F61/1000))</f>
        <v>0</v>
      </c>
      <c r="I61" s="531"/>
      <c r="J61" s="520"/>
      <c r="K61" s="519"/>
      <c r="L61" s="504"/>
      <c r="M61" s="495"/>
      <c r="N61" s="494"/>
      <c r="O61" s="496"/>
      <c r="P61" s="496"/>
      <c r="Q61" s="496"/>
      <c r="Z61" s="56"/>
      <c r="AB61" s="16">
        <v>11</v>
      </c>
      <c r="AC61" s="45">
        <f>F73</f>
        <v>0</v>
      </c>
      <c r="AD61" s="26">
        <f t="shared" si="27"/>
        <v>50</v>
      </c>
      <c r="AE61" s="26">
        <f>I74</f>
        <v>9.3000000000000007</v>
      </c>
      <c r="AF61" s="26">
        <f>J74</f>
        <v>7.1525963981427259</v>
      </c>
    </row>
    <row r="62" spans="1:32" ht="12" customHeight="1" x14ac:dyDescent="0.25">
      <c r="A62" s="546"/>
      <c r="B62" s="549"/>
      <c r="C62" s="550"/>
      <c r="D62" s="535"/>
      <c r="E62" s="535"/>
      <c r="F62" s="524"/>
      <c r="G62" s="526"/>
      <c r="H62" s="533"/>
      <c r="I62" s="531">
        <f>J47-(J47-N47)*(G52+G53+G55+G57+G59+G61)/F78</f>
        <v>9.3000000000000007</v>
      </c>
      <c r="J62" s="520">
        <f>237.3/((7.5/LOG10(L62/611))-1)</f>
        <v>7.1525963981427259</v>
      </c>
      <c r="K62" s="519">
        <f>EXP(-6096.938/(I62+273.15)+21.2409642-2.711193*10^-2*(I62+273.15)+1.673952*10^-5*(I62+273.15)^2+2.433502*LN((I62+273.15)))</f>
        <v>1171.7052017269605</v>
      </c>
      <c r="L62" s="504">
        <f>J49-(J49-N49)*(H52+H53+H55+H57+H59+H61)/F83</f>
        <v>1012.7180581886462</v>
      </c>
      <c r="M62" s="495" t="str">
        <f>IF(L62/K62&lt;1,"○","×")</f>
        <v>○</v>
      </c>
      <c r="N62" s="494">
        <f>IF(L62/K62&gt;1,1,L62/K62)</f>
        <v>0.86431131029888297</v>
      </c>
      <c r="O62" s="496">
        <f>EXP(1.32774+7.80136*10^-2*I62-2.87894*10^-4*I62^2+1.36152*10^-6*I62^3+3.49024*10^-9*I62^4-4.87306*10^-3*ABS(I62))</f>
        <v>7.2729961141877615</v>
      </c>
      <c r="P62" s="497">
        <f t="shared" ref="P62" si="34">O62*N62</f>
        <v>6.2861328012523083</v>
      </c>
      <c r="Q62" s="497">
        <f t="shared" ref="Q62" si="35">1.005*I62+(O62/1000)*(2501.1+1.846*I62)</f>
        <v>27.661851923884161</v>
      </c>
      <c r="Z62" s="56"/>
      <c r="AB62" s="16">
        <v>12</v>
      </c>
      <c r="AC62" s="45">
        <f>F75</f>
        <v>0</v>
      </c>
      <c r="AD62" s="26">
        <f t="shared" si="27"/>
        <v>50</v>
      </c>
      <c r="AE62" s="26">
        <f>I76</f>
        <v>9.3000000000000007</v>
      </c>
      <c r="AF62" s="26">
        <f>J76</f>
        <v>7.1525963981427259</v>
      </c>
    </row>
    <row r="63" spans="1:32" ht="12" customHeight="1" x14ac:dyDescent="0.25">
      <c r="A63" s="545" t="s">
        <v>300</v>
      </c>
      <c r="B63" s="547"/>
      <c r="C63" s="548"/>
      <c r="D63" s="534" t="str">
        <f>IF(B63="","",VLOOKUP(B63,素材データ!$A$5:$AA$384,2,FALSE))</f>
        <v/>
      </c>
      <c r="E63" s="534" t="str">
        <f>IF(B63="","",VLOOKUP(B63,素材データ!$A$5:$AA$384,4,FALSE))</f>
        <v/>
      </c>
      <c r="F63" s="523"/>
      <c r="G63" s="525">
        <f>IF(D63="",0,IF(D63=0,VLOOKUP(B63,素材データ!$A$5:$AA$364,9,FALSE),IF(D63=0,0,F63/D63/1000)))</f>
        <v>0</v>
      </c>
      <c r="H63" s="532">
        <f>IF(E63="",0,IF(E63=0,VLOOKUP(B63,素材データ!$A$5:$AA$364,11,FALSE),E63*F63/1000))</f>
        <v>0</v>
      </c>
      <c r="I63" s="531"/>
      <c r="J63" s="520"/>
      <c r="K63" s="519"/>
      <c r="L63" s="504"/>
      <c r="M63" s="495"/>
      <c r="N63" s="494"/>
      <c r="O63" s="496"/>
      <c r="P63" s="496"/>
      <c r="Q63" s="496"/>
      <c r="S63" s="16"/>
      <c r="T63" s="31"/>
      <c r="U63" s="31"/>
      <c r="V63" s="56"/>
      <c r="W63" s="16"/>
      <c r="X63" s="31"/>
      <c r="Y63" s="31"/>
      <c r="Z63" s="56"/>
      <c r="AB63" s="16" t="s">
        <v>63</v>
      </c>
      <c r="AC63" s="45">
        <f>IF(E77="通気層工法(9mm以上)",9,IF(E77="通気層工法(18mm以上)",18,0))</f>
        <v>18</v>
      </c>
      <c r="AD63" s="26">
        <f t="shared" si="27"/>
        <v>68</v>
      </c>
      <c r="AE63" s="26">
        <f>N47</f>
        <v>3.6</v>
      </c>
      <c r="AF63" s="26">
        <f>237.3/((7.5/LOG10(N49/611))-1)</f>
        <v>-1.3468270695015434</v>
      </c>
    </row>
    <row r="64" spans="1:32" ht="12" customHeight="1" x14ac:dyDescent="0.25">
      <c r="A64" s="546"/>
      <c r="B64" s="549"/>
      <c r="C64" s="550"/>
      <c r="D64" s="535"/>
      <c r="E64" s="535"/>
      <c r="F64" s="524"/>
      <c r="G64" s="526"/>
      <c r="H64" s="533"/>
      <c r="I64" s="531">
        <f>J47-(J47-N47)*(G52+G53+G55+G57+G59+G61+G63)/F78</f>
        <v>9.3000000000000007</v>
      </c>
      <c r="J64" s="520">
        <f>237.3/((7.5/LOG10(L64/611))-1)</f>
        <v>7.1525963981427259</v>
      </c>
      <c r="K64" s="519">
        <f>EXP(-6096.938/(I64+273.15)+21.2409642-2.711193*10^-2*(I64+273.15)+1.673952*10^-5*(I64+273.15)^2+2.433502*LN((I64+273.15)))</f>
        <v>1171.7052017269605</v>
      </c>
      <c r="L64" s="504">
        <f>J49-(J49-N49)*(H52+H53+H55+H57+H59+H61+H63)/F83</f>
        <v>1012.7180581886462</v>
      </c>
      <c r="M64" s="495" t="str">
        <f>IF(L64/K64&lt;1,"○","×")</f>
        <v>○</v>
      </c>
      <c r="N64" s="494">
        <f>IF(L64/K64&gt;1,1,L64/K64)</f>
        <v>0.86431131029888297</v>
      </c>
      <c r="O64" s="496">
        <f>EXP(1.32774+7.80136*10^-2*I64-2.87894*10^-4*I64^2+1.36152*10^-6*I64^3+3.49024*10^-9*I64^4-4.87306*10^-3*ABS(I64))</f>
        <v>7.2729961141877615</v>
      </c>
      <c r="P64" s="497">
        <f t="shared" ref="P64" si="36">O64*N64</f>
        <v>6.2861328012523083</v>
      </c>
      <c r="Q64" s="497">
        <f t="shared" ref="Q64" si="37">1.005*I64+(O64/1000)*(2501.1+1.846*I64)</f>
        <v>27.661851923884161</v>
      </c>
      <c r="S64" s="16"/>
      <c r="T64" s="31"/>
      <c r="U64" s="31"/>
      <c r="V64" s="56"/>
      <c r="W64" s="16"/>
      <c r="X64" s="31"/>
      <c r="Y64" s="31"/>
      <c r="Z64" s="56"/>
      <c r="AC64" s="13">
        <v>50</v>
      </c>
      <c r="AD64" s="26">
        <f t="shared" si="27"/>
        <v>118</v>
      </c>
      <c r="AE64" s="26">
        <f>N47</f>
        <v>3.6</v>
      </c>
      <c r="AF64" s="26">
        <f>237.3/((7.5/LOG10(N49/611))-1)</f>
        <v>-1.3468270695015434</v>
      </c>
    </row>
    <row r="65" spans="1:26" ht="12" customHeight="1" x14ac:dyDescent="0.25">
      <c r="A65" s="545" t="s">
        <v>301</v>
      </c>
      <c r="B65" s="547"/>
      <c r="C65" s="548"/>
      <c r="D65" s="534" t="str">
        <f>IF(B65="","",VLOOKUP(B65,素材データ!$A$5:$AA$384,2,FALSE))</f>
        <v/>
      </c>
      <c r="E65" s="534" t="str">
        <f>IF(B65="","",VLOOKUP(B65,素材データ!$A$5:$AA$384,4,FALSE))</f>
        <v/>
      </c>
      <c r="F65" s="523"/>
      <c r="G65" s="525">
        <f>IF(D65="",0,IF(D65=0,VLOOKUP(B65,素材データ!$A$5:$AA$364,9,FALSE),IF(D65=0,0,F65/D65/1000)))</f>
        <v>0</v>
      </c>
      <c r="H65" s="532">
        <f>IF(E65="",0,IF(E65=0,VLOOKUP(B65,素材データ!$A$5:$AA$364,11,FALSE),E65*F65/1000))</f>
        <v>0</v>
      </c>
      <c r="I65" s="531"/>
      <c r="J65" s="520"/>
      <c r="K65" s="519"/>
      <c r="L65" s="504"/>
      <c r="M65" s="495"/>
      <c r="N65" s="494"/>
      <c r="O65" s="496"/>
      <c r="P65" s="496"/>
      <c r="Q65" s="496"/>
      <c r="S65" s="16"/>
      <c r="T65" s="31"/>
      <c r="U65" s="31"/>
      <c r="V65" s="56"/>
      <c r="W65" s="16"/>
      <c r="X65" s="31"/>
      <c r="Y65" s="31"/>
      <c r="Z65" s="56"/>
    </row>
    <row r="66" spans="1:26" ht="12" customHeight="1" x14ac:dyDescent="0.25">
      <c r="A66" s="546"/>
      <c r="B66" s="549"/>
      <c r="C66" s="550"/>
      <c r="D66" s="535"/>
      <c r="E66" s="535"/>
      <c r="F66" s="524"/>
      <c r="G66" s="526"/>
      <c r="H66" s="533"/>
      <c r="I66" s="531">
        <f>J47-(J47-N47)*(G52+G53+G55+G57+G59+G61+G63+G65)/F78</f>
        <v>9.3000000000000007</v>
      </c>
      <c r="J66" s="520">
        <f>237.3/((7.5/LOG10(L66/611))-1)</f>
        <v>7.1525963981427259</v>
      </c>
      <c r="K66" s="519">
        <f>EXP(-6096.938/(I66+273.15)+21.2409642-2.711193*10^-2*(I66+273.15)+1.673952*10^-5*(I66+273.15)^2+2.433502*LN((I66+273.15)))</f>
        <v>1171.7052017269605</v>
      </c>
      <c r="L66" s="504">
        <f>J49-(J49-N49)*(H52+H53+H55+H57+H59+H61+H63+H65)/F83</f>
        <v>1012.7180581886462</v>
      </c>
      <c r="M66" s="495" t="str">
        <f>IF(L66/K66&lt;1,"○","×")</f>
        <v>○</v>
      </c>
      <c r="N66" s="494">
        <f>IF(L66/K66&gt;1,1,L66/K66)</f>
        <v>0.86431131029888297</v>
      </c>
      <c r="O66" s="496">
        <f>EXP(1.32774+7.80136*10^-2*I66-2.87894*10^-4*I66^2+1.36152*10^-6*I66^3+3.49024*10^-9*I66^4-4.87306*10^-3*ABS(I66))</f>
        <v>7.2729961141877615</v>
      </c>
      <c r="P66" s="497">
        <f t="shared" ref="P66" si="38">O66*N66</f>
        <v>6.2861328012523083</v>
      </c>
      <c r="Q66" s="497">
        <f t="shared" ref="Q66" si="39">1.005*I66+(O66/1000)*(2501.1+1.846*I66)</f>
        <v>27.661851923884161</v>
      </c>
      <c r="S66" s="16"/>
      <c r="T66" s="16"/>
      <c r="U66" s="31"/>
      <c r="V66" s="56"/>
      <c r="W66" s="16"/>
      <c r="X66" s="16"/>
      <c r="Y66" s="31"/>
      <c r="Z66" s="56"/>
    </row>
    <row r="67" spans="1:26" ht="12" customHeight="1" x14ac:dyDescent="0.25">
      <c r="A67" s="545" t="s">
        <v>230</v>
      </c>
      <c r="B67" s="547"/>
      <c r="C67" s="548"/>
      <c r="D67" s="534" t="str">
        <f>IF(B67="","",VLOOKUP(B67,素材データ!$A$5:$AA$384,2,FALSE))</f>
        <v/>
      </c>
      <c r="E67" s="534" t="str">
        <f>IF(B67="","",VLOOKUP(B67,素材データ!$A$5:$AA$384,4,FALSE))</f>
        <v/>
      </c>
      <c r="F67" s="523"/>
      <c r="G67" s="525">
        <f>IF(D67="",0,IF(D67=0,VLOOKUP(B67,素材データ!$A$5:$AA$364,9,FALSE),IF(D67=0,0,F67/D67/1000)))</f>
        <v>0</v>
      </c>
      <c r="H67" s="532">
        <f>IF(E67="",0,IF(E67=0,VLOOKUP(B67,素材データ!$A$5:$AA$364,11,FALSE),E67*F67/1000))</f>
        <v>0</v>
      </c>
      <c r="I67" s="531"/>
      <c r="J67" s="520"/>
      <c r="K67" s="519"/>
      <c r="L67" s="504"/>
      <c r="M67" s="495"/>
      <c r="N67" s="494"/>
      <c r="O67" s="496"/>
      <c r="P67" s="496"/>
      <c r="Q67" s="496"/>
      <c r="T67" s="31"/>
      <c r="U67" s="31"/>
      <c r="V67" s="13"/>
      <c r="X67" s="31"/>
      <c r="Y67" s="31"/>
      <c r="Z67" s="13"/>
    </row>
    <row r="68" spans="1:26" ht="12" customHeight="1" x14ac:dyDescent="0.25">
      <c r="A68" s="546"/>
      <c r="B68" s="549"/>
      <c r="C68" s="550"/>
      <c r="D68" s="535"/>
      <c r="E68" s="535"/>
      <c r="F68" s="524"/>
      <c r="G68" s="526"/>
      <c r="H68" s="533"/>
      <c r="I68" s="531">
        <f>J47-(J47-N47)*(G52+G53+G55+G57+G59+G61+G63+G65+G67)/F78</f>
        <v>9.3000000000000007</v>
      </c>
      <c r="J68" s="520">
        <f>237.3/((7.5/LOG10(L68/611))-1)</f>
        <v>7.1525963981427259</v>
      </c>
      <c r="K68" s="519">
        <f>EXP(-6096.938/(I68+273.15)+21.2409642-2.711193*10^-2*(I68+273.15)+1.673952*10^-5*(I68+273.15)^2+2.433502*LN((I68+273.15)))</f>
        <v>1171.7052017269605</v>
      </c>
      <c r="L68" s="504">
        <f>J49-(J49-N49)*(H52+H53+H55+H57+H59+H61+H63+H65+H67)/F83</f>
        <v>1012.7180581886462</v>
      </c>
      <c r="M68" s="495" t="str">
        <f>IF(L68/K68&lt;1,"○","×")</f>
        <v>○</v>
      </c>
      <c r="N68" s="494">
        <f>IF(L68/K68&gt;1,1,L68/K68)</f>
        <v>0.86431131029888297</v>
      </c>
      <c r="O68" s="496">
        <f>EXP(1.32774+7.80136*10^-2*I68-2.87894*10^-4*I68^2+1.36152*10^-6*I68^3+3.49024*10^-9*I68^4-4.87306*10^-3*ABS(I68))</f>
        <v>7.2729961141877615</v>
      </c>
      <c r="P68" s="497">
        <f t="shared" ref="P68" si="40">O68*N68</f>
        <v>6.2861328012523083</v>
      </c>
      <c r="Q68" s="497">
        <f t="shared" ref="Q68" si="41">1.005*I68+(O68/1000)*(2501.1+1.846*I68)</f>
        <v>27.661851923884161</v>
      </c>
      <c r="T68" s="16"/>
      <c r="U68" s="31"/>
      <c r="V68" s="13"/>
      <c r="X68" s="16"/>
      <c r="Y68" s="31"/>
      <c r="Z68" s="13"/>
    </row>
    <row r="69" spans="1:26" ht="12" customHeight="1" x14ac:dyDescent="0.25">
      <c r="A69" s="545" t="s">
        <v>231</v>
      </c>
      <c r="B69" s="547"/>
      <c r="C69" s="548"/>
      <c r="D69" s="534" t="str">
        <f>IF(B69="","",VLOOKUP(B69,素材データ!$A$5:$AA$384,2,FALSE))</f>
        <v/>
      </c>
      <c r="E69" s="534" t="str">
        <f>IF(B69="","",VLOOKUP(B69,素材データ!$A$5:$AA$384,4,FALSE))</f>
        <v/>
      </c>
      <c r="F69" s="523"/>
      <c r="G69" s="525">
        <f>IF(D69="",0,IF(D69=0,VLOOKUP(B69,素材データ!$A$5:$AA$364,9,FALSE),IF(D69=0,0,F69/D69/1000)))</f>
        <v>0</v>
      </c>
      <c r="H69" s="532">
        <f>IF(E69="",0,IF(E69=0,VLOOKUP(B69,素材データ!$A$5:$AA$364,11,FALSE),E69*F69/1000))</f>
        <v>0</v>
      </c>
      <c r="I69" s="531"/>
      <c r="J69" s="520"/>
      <c r="K69" s="519"/>
      <c r="L69" s="504"/>
      <c r="M69" s="495"/>
      <c r="N69" s="494"/>
      <c r="O69" s="496"/>
      <c r="P69" s="496"/>
      <c r="Q69" s="496"/>
      <c r="S69" s="16"/>
      <c r="T69" s="92"/>
      <c r="U69" s="92"/>
      <c r="V69" s="13"/>
      <c r="W69" s="16"/>
      <c r="X69" s="92"/>
      <c r="Y69" s="92"/>
      <c r="Z69" s="13"/>
    </row>
    <row r="70" spans="1:26" ht="12" customHeight="1" x14ac:dyDescent="0.25">
      <c r="A70" s="546"/>
      <c r="B70" s="549"/>
      <c r="C70" s="550"/>
      <c r="D70" s="535"/>
      <c r="E70" s="535"/>
      <c r="F70" s="524"/>
      <c r="G70" s="526"/>
      <c r="H70" s="533"/>
      <c r="I70" s="531">
        <f>J47-(J47-N47)*(G52+G53+G55+G57+G59+G61+G63+G65+G67+G69)/F78</f>
        <v>9.3000000000000007</v>
      </c>
      <c r="J70" s="520">
        <f>237.3/((7.5/LOG10(L70/611))-1)</f>
        <v>7.1525963981427259</v>
      </c>
      <c r="K70" s="519">
        <f>EXP(-6096.938/(I70+273.15)+21.2409642-2.711193*10^-2*(I70+273.15)+1.673952*10^-5*(I70+273.15)^2+2.433502*LN((I70+273.15)))</f>
        <v>1171.7052017269605</v>
      </c>
      <c r="L70" s="504">
        <f>J49-(J49-N49)*(H52+H53+H55+H57+H59+H61+H63+H65+H67+H69)/F83</f>
        <v>1012.7180581886462</v>
      </c>
      <c r="M70" s="495" t="str">
        <f>IF(L70/K70&lt;1,"○","×")</f>
        <v>○</v>
      </c>
      <c r="N70" s="494">
        <f>IF(L70/K70&gt;1,1,L70/K70)</f>
        <v>0.86431131029888297</v>
      </c>
      <c r="O70" s="496">
        <f>EXP(1.32774+7.80136*10^-2*I70-2.87894*10^-4*I70^2+1.36152*10^-6*I70^3+3.49024*10^-9*I70^4-4.87306*10^-3*ABS(I70))</f>
        <v>7.2729961141877615</v>
      </c>
      <c r="P70" s="497">
        <f t="shared" ref="P70" si="42">O70*N70</f>
        <v>6.2861328012523083</v>
      </c>
      <c r="Q70" s="497">
        <f t="shared" ref="Q70" si="43">1.005*I70+(O70/1000)*(2501.1+1.846*I70)</f>
        <v>27.661851923884161</v>
      </c>
      <c r="V70" s="13"/>
      <c r="Z70" s="13"/>
    </row>
    <row r="71" spans="1:26" ht="12" customHeight="1" x14ac:dyDescent="0.25">
      <c r="A71" s="545" t="s">
        <v>585</v>
      </c>
      <c r="B71" s="547"/>
      <c r="C71" s="548"/>
      <c r="D71" s="534" t="str">
        <f>IF(B71="","",VLOOKUP(B71,素材データ!$A$5:$AA$384,2,FALSE))</f>
        <v/>
      </c>
      <c r="E71" s="534" t="str">
        <f>IF(B71="","",VLOOKUP(B71,素材データ!$A$5:$AA$384,4,FALSE))</f>
        <v/>
      </c>
      <c r="F71" s="523"/>
      <c r="G71" s="525">
        <f>IF(D71="",0,IF(D71=0,VLOOKUP(B71,素材データ!$A$5:$AA$364,9,FALSE),IF(D71=0,0,F71/D71/1000)))</f>
        <v>0</v>
      </c>
      <c r="H71" s="532">
        <f>IF(E71="",0,IF(E71=0,VLOOKUP(B71,素材データ!$A$5:$AA$364,11,FALSE),E71*F71/1000))</f>
        <v>0</v>
      </c>
      <c r="I71" s="531"/>
      <c r="J71" s="520"/>
      <c r="K71" s="519"/>
      <c r="L71" s="504"/>
      <c r="M71" s="495"/>
      <c r="N71" s="494"/>
      <c r="O71" s="496"/>
      <c r="P71" s="496"/>
      <c r="Q71" s="496"/>
      <c r="R71" s="16"/>
      <c r="V71" s="13"/>
      <c r="Z71" s="13"/>
    </row>
    <row r="72" spans="1:26" ht="12" customHeight="1" x14ac:dyDescent="0.25">
      <c r="A72" s="546"/>
      <c r="B72" s="549"/>
      <c r="C72" s="550"/>
      <c r="D72" s="535"/>
      <c r="E72" s="535"/>
      <c r="F72" s="524"/>
      <c r="G72" s="526"/>
      <c r="H72" s="533"/>
      <c r="I72" s="531">
        <f>J47-(J47-N47)*(G52+G53+G55+G57+G59+G61+G63+G65+G67+G69+G71)/F78</f>
        <v>9.3000000000000007</v>
      </c>
      <c r="J72" s="520">
        <f>237.3/((7.5/LOG10(L72/611))-1)</f>
        <v>7.1525963981427259</v>
      </c>
      <c r="K72" s="519">
        <f>EXP(-6096.938/(I72+273.15)+21.2409642-2.711193*10^-2*(I72+273.15)+1.673952*10^-5*(I72+273.15)^2+2.433502*LN((I72+273.15)))</f>
        <v>1171.7052017269605</v>
      </c>
      <c r="L72" s="504">
        <f>J49-(J49-N49)*(H52+H53+H55+H57+H59+H61+H63+H65+H67+H69+H71)/F83</f>
        <v>1012.7180581886462</v>
      </c>
      <c r="M72" s="495" t="str">
        <f>IF(L72/K72&lt;1,"○","×")</f>
        <v>○</v>
      </c>
      <c r="N72" s="494">
        <f>IF(L72/K72&gt;1,1,L72/K72)</f>
        <v>0.86431131029888297</v>
      </c>
      <c r="O72" s="496">
        <f>EXP(1.32774+7.80136*10^-2*I72-2.87894*10^-4*I72^2+1.36152*10^-6*I72^3+3.49024*10^-9*I72^4-4.87306*10^-3*ABS(I72))</f>
        <v>7.2729961141877615</v>
      </c>
      <c r="P72" s="497">
        <f t="shared" ref="P72" si="44">O72*N72</f>
        <v>6.2861328012523083</v>
      </c>
      <c r="Q72" s="497">
        <f t="shared" ref="Q72" si="45">1.005*I72+(O72/1000)*(2501.1+1.846*I72)</f>
        <v>27.661851923884161</v>
      </c>
      <c r="R72" s="16"/>
      <c r="S72" s="56"/>
      <c r="V72" s="56"/>
      <c r="W72" s="56"/>
      <c r="Z72" s="56"/>
    </row>
    <row r="73" spans="1:26" ht="12" customHeight="1" x14ac:dyDescent="0.25">
      <c r="A73" s="545" t="s">
        <v>586</v>
      </c>
      <c r="B73" s="547"/>
      <c r="C73" s="548"/>
      <c r="D73" s="534" t="str">
        <f>IF(B73="","",VLOOKUP(B73,素材データ!$A$5:$AA$384,2,FALSE))</f>
        <v/>
      </c>
      <c r="E73" s="534" t="str">
        <f>IF(B73="","",VLOOKUP(B73,素材データ!$A$5:$AA$384,4,FALSE))</f>
        <v/>
      </c>
      <c r="F73" s="523"/>
      <c r="G73" s="525">
        <f>IF(D73="",0,IF(D73=0,VLOOKUP(B73,素材データ!$A$5:$AA$364,9,FALSE),IF(D73=0,0,F73/D73/1000)))</f>
        <v>0</v>
      </c>
      <c r="H73" s="532">
        <f>IF(E73="",0,IF(E73=0,VLOOKUP(B73,素材データ!$A$5:$AA$364,11,FALSE),E73*F73/1000))</f>
        <v>0</v>
      </c>
      <c r="I73" s="531"/>
      <c r="J73" s="520"/>
      <c r="K73" s="519"/>
      <c r="L73" s="504"/>
      <c r="M73" s="495"/>
      <c r="N73" s="494"/>
      <c r="O73" s="496"/>
      <c r="P73" s="496"/>
      <c r="Q73" s="496"/>
      <c r="R73" s="30"/>
      <c r="V73" s="13"/>
      <c r="Z73" s="13"/>
    </row>
    <row r="74" spans="1:26" ht="12" customHeight="1" x14ac:dyDescent="0.25">
      <c r="A74" s="546"/>
      <c r="B74" s="549"/>
      <c r="C74" s="550"/>
      <c r="D74" s="535"/>
      <c r="E74" s="535"/>
      <c r="F74" s="524"/>
      <c r="G74" s="526"/>
      <c r="H74" s="533"/>
      <c r="I74" s="531">
        <f>J47-(J47-N47)*(G52+G53+G55+G57+G59+G61+G63+G65+G67+G69+G71+G73)/F78</f>
        <v>9.3000000000000007</v>
      </c>
      <c r="J74" s="520">
        <f>237.3/((7.5/LOG10(L74/611))-1)</f>
        <v>7.1525963981427259</v>
      </c>
      <c r="K74" s="519">
        <f>EXP(-6096.938/(I74+273.15)+21.2409642-2.711193*10^-2*(I74+273.15)+1.673952*10^-5*(I74+273.15)^2+2.433502*LN((I74+273.15)))</f>
        <v>1171.7052017269605</v>
      </c>
      <c r="L74" s="504">
        <f>J49-(J49-N49)*(H52+H53+H55+H57+H59+H61+H63+H65+H67+H69+H71+H73)/F83</f>
        <v>1012.7180581886462</v>
      </c>
      <c r="M74" s="495" t="str">
        <f>IF(L74/K74&lt;1,"○","×")</f>
        <v>○</v>
      </c>
      <c r="N74" s="494">
        <f>IF(L74/K74&gt;1,1,L74/K74)</f>
        <v>0.86431131029888297</v>
      </c>
      <c r="O74" s="496">
        <f>EXP(1.32774+7.80136*10^-2*I74-2.87894*10^-4*I74^2+1.36152*10^-6*I74^3+3.49024*10^-9*I74^4-4.87306*10^-3*ABS(I74))</f>
        <v>7.2729961141877615</v>
      </c>
      <c r="P74" s="497">
        <f t="shared" ref="P74" si="46">O74*N74</f>
        <v>6.2861328012523083</v>
      </c>
      <c r="Q74" s="497">
        <f t="shared" ref="Q74" si="47">1.005*I74+(O74/1000)*(2501.1+1.846*I74)</f>
        <v>27.661851923884161</v>
      </c>
      <c r="R74" s="30"/>
      <c r="T74" s="16"/>
      <c r="V74" s="56"/>
      <c r="X74" s="16"/>
      <c r="Z74" s="56"/>
    </row>
    <row r="75" spans="1:26" ht="12" customHeight="1" x14ac:dyDescent="0.25">
      <c r="A75" s="545" t="s">
        <v>587</v>
      </c>
      <c r="B75" s="547"/>
      <c r="C75" s="548"/>
      <c r="D75" s="534" t="str">
        <f>IF(B75="","",VLOOKUP(B75,素材データ!$A$5:$AA$384,2,FALSE))</f>
        <v/>
      </c>
      <c r="E75" s="534" t="str">
        <f>IF(B75="","",VLOOKUP(B75,素材データ!$A$5:$AA$384,4,FALSE))</f>
        <v/>
      </c>
      <c r="F75" s="523"/>
      <c r="G75" s="525">
        <f>IF(D75="",0,IF(D75=0,VLOOKUP(B75,素材データ!$A$5:$AA$364,9,FALSE),IF(D75=0,0,F75/D75/1000)))</f>
        <v>0</v>
      </c>
      <c r="H75" s="532">
        <f>IF(E75="",0,IF(E75=0,VLOOKUP(B75,素材データ!$A$5:$AA$364,11,FALSE),E75*F75/1000))</f>
        <v>0</v>
      </c>
      <c r="I75" s="531"/>
      <c r="J75" s="520"/>
      <c r="K75" s="519"/>
      <c r="L75" s="504"/>
      <c r="M75" s="495"/>
      <c r="N75" s="494"/>
      <c r="O75" s="496"/>
      <c r="P75" s="496"/>
      <c r="Q75" s="496"/>
      <c r="R75" s="16"/>
      <c r="S75" s="56"/>
      <c r="T75" s="73"/>
      <c r="V75" s="56"/>
      <c r="W75" s="56"/>
      <c r="X75" s="73"/>
      <c r="Z75" s="56"/>
    </row>
    <row r="76" spans="1:26" ht="12" customHeight="1" x14ac:dyDescent="0.25">
      <c r="A76" s="546"/>
      <c r="B76" s="549"/>
      <c r="C76" s="550"/>
      <c r="D76" s="535"/>
      <c r="E76" s="535"/>
      <c r="F76" s="524"/>
      <c r="G76" s="526"/>
      <c r="H76" s="533"/>
      <c r="I76" s="531">
        <f>J47-(J47-N47)*(G52+G53+G55+G57+G59+G61+G63+G65+G67+G69+G71+G73+G75)/F78</f>
        <v>9.3000000000000007</v>
      </c>
      <c r="J76" s="520">
        <f>237.3/((7.5/LOG10(L76/611))-1)</f>
        <v>7.1525963981427259</v>
      </c>
      <c r="K76" s="519">
        <f>EXP(-6096.938/(I76+273.15)+21.2409642-2.711193*10^-2*(I76+273.15)+1.673952*10^-5*(I76+273.15)^2+2.433502*LN((I76+273.15)))</f>
        <v>1171.7052017269605</v>
      </c>
      <c r="L76" s="504">
        <f>J49-(J49-N49)*(H52+H53+H55+H57+H59+H61+H63+H65+H67+H69+H71+H73+H75)/F83</f>
        <v>1012.7180581886462</v>
      </c>
      <c r="M76" s="495" t="str">
        <f>IF(L76/K76&lt;1,"○","×")</f>
        <v>○</v>
      </c>
      <c r="N76" s="494">
        <f>IF(L76/K76&gt;1,1,L76/K76)</f>
        <v>0.86431131029888297</v>
      </c>
      <c r="O76" s="496">
        <f>EXP(1.32774+7.80136*10^-2*I76-2.87894*10^-4*I76^2+1.36152*10^-6*I76^3+3.49024*10^-9*I76^4-4.87306*10^-3*ABS(I76))</f>
        <v>7.2729961141877615</v>
      </c>
      <c r="P76" s="497">
        <f t="shared" ref="P76" si="48">O76*N76</f>
        <v>6.2861328012523083</v>
      </c>
      <c r="Q76" s="497">
        <f t="shared" ref="Q76" si="49">1.005*I76+(O76/1000)*(2501.1+1.846*I76)</f>
        <v>27.661851923884161</v>
      </c>
      <c r="R76" s="16"/>
      <c r="S76" s="82"/>
      <c r="T76" s="82"/>
      <c r="V76" s="13"/>
      <c r="W76" s="82"/>
      <c r="X76" s="82"/>
      <c r="Z76" s="13"/>
    </row>
    <row r="77" spans="1:26" ht="12" customHeight="1" x14ac:dyDescent="0.25">
      <c r="A77" s="454" t="s">
        <v>187</v>
      </c>
      <c r="B77" s="579" t="s">
        <v>5</v>
      </c>
      <c r="C77" s="580"/>
      <c r="D77" s="485" t="str">
        <f>F48</f>
        <v>外壁</v>
      </c>
      <c r="E77" s="570" t="s">
        <v>298</v>
      </c>
      <c r="F77" s="571"/>
      <c r="G77" s="486">
        <f>IF(AND(F48="外壁",E77="通気層工法(18mm以上)"),0.11,IF(AND(F48="外壁",E77="通気層工法(9mm以上)"),0.11,IF(AND(F48="外壁",E77="通気層なし"),0.04,IF(AND(F48="屋根",E77="通気層工法(18mm以上)"),0.09,IF(AND(F48="屋根",E77="通気層工法(9mm以上)"),0.09,IF(AND(F48="屋根",E77="通気層なし"),0.04,IF(F48="天井",0.09,IF(F48="床",0.15,0.11))))))))</f>
        <v>0.11</v>
      </c>
      <c r="H77" s="487">
        <f>IF(AND(F48="外壁",E77="通気層工法(18mm以上)"),1.8,IF(AND(F48="外壁",E77="通気層工法(9mm以上)"),3.6,IF(AND(F48="外壁",E77="通気層なし"),0.014,IF(AND(F48="屋根",E77="通気層工法(18mm以上)"),3.6,IF(AND(F48="屋根",E77="通気層工法(9mm以上)"),5.4,IF(AND(F48="屋根",E77="通気層なし"),0.014,IF(F48="天井",0.042,IF(F48="床",0.042,0.014))))))))*3600*10^-9/760*1.013*10^5</f>
        <v>8.6371578947368427E-4</v>
      </c>
      <c r="I77" s="581"/>
      <c r="J77" s="521"/>
      <c r="K77" s="522"/>
      <c r="L77" s="509"/>
      <c r="M77" s="508"/>
      <c r="N77" s="511"/>
      <c r="O77" s="510"/>
      <c r="P77" s="510"/>
      <c r="Q77" s="510"/>
      <c r="R77" s="16"/>
      <c r="T77" s="16"/>
      <c r="V77" s="13"/>
      <c r="X77" s="16"/>
      <c r="Z77" s="13"/>
    </row>
    <row r="78" spans="1:26" ht="15" customHeight="1" x14ac:dyDescent="0.25">
      <c r="A78" s="572" t="s">
        <v>7</v>
      </c>
      <c r="B78" s="569"/>
      <c r="C78" s="569"/>
      <c r="D78" s="459"/>
      <c r="E78" s="460"/>
      <c r="F78" s="575">
        <f>SUM(G52:G77)</f>
        <v>0.22</v>
      </c>
      <c r="G78" s="576"/>
      <c r="H78" s="63"/>
      <c r="M78" s="62"/>
      <c r="N78" s="62"/>
      <c r="O78" s="64"/>
      <c r="P78" s="62"/>
      <c r="Q78" s="62"/>
      <c r="R78" s="16"/>
      <c r="T78" s="16"/>
      <c r="V78" s="13"/>
      <c r="X78" s="16"/>
      <c r="Z78" s="13"/>
    </row>
    <row r="79" spans="1:26" ht="15" customHeight="1" x14ac:dyDescent="0.25">
      <c r="A79" s="573"/>
      <c r="B79" s="574"/>
      <c r="C79" s="574"/>
      <c r="D79" s="463"/>
      <c r="E79" s="464" t="s">
        <v>717</v>
      </c>
      <c r="F79" s="577"/>
      <c r="G79" s="578"/>
      <c r="H79" s="63"/>
      <c r="M79" s="62"/>
      <c r="N79" s="62"/>
      <c r="O79" s="64"/>
      <c r="P79" s="62"/>
      <c r="Q79" s="62"/>
      <c r="R79" s="46"/>
      <c r="T79" s="16"/>
      <c r="V79" s="13"/>
      <c r="X79" s="16"/>
      <c r="Z79" s="13"/>
    </row>
    <row r="80" spans="1:26" s="16" customFormat="1" ht="15" customHeight="1" x14ac:dyDescent="0.25">
      <c r="A80" s="568" t="s">
        <v>10</v>
      </c>
      <c r="B80" s="569"/>
      <c r="C80" s="569"/>
      <c r="D80" s="459"/>
      <c r="E80" s="474"/>
      <c r="F80" s="562">
        <f>1/F78</f>
        <v>4.5454545454545459</v>
      </c>
      <c r="G80" s="563"/>
      <c r="H80" s="65"/>
      <c r="I80" s="483"/>
      <c r="J80" s="483"/>
      <c r="K80" s="484"/>
      <c r="L80" s="484"/>
      <c r="M80" s="62"/>
      <c r="N80" s="62"/>
      <c r="O80" s="66"/>
      <c r="P80" s="12" t="s">
        <v>571</v>
      </c>
      <c r="Q80" s="67">
        <f>IF(F48="外壁",5,6)</f>
        <v>5</v>
      </c>
      <c r="U80" s="91"/>
      <c r="V80" s="314"/>
      <c r="Y80" s="91"/>
      <c r="Z80" s="314"/>
    </row>
    <row r="81" spans="1:32" s="16" customFormat="1" ht="15" customHeight="1" x14ac:dyDescent="0.25">
      <c r="A81" s="568"/>
      <c r="B81" s="569"/>
      <c r="C81" s="569"/>
      <c r="D81" s="459"/>
      <c r="E81" s="461" t="s">
        <v>716</v>
      </c>
      <c r="F81" s="562"/>
      <c r="G81" s="563"/>
      <c r="H81" s="65"/>
      <c r="I81" s="483"/>
      <c r="J81" s="483"/>
      <c r="K81" s="484"/>
      <c r="L81" s="484"/>
      <c r="M81" s="62"/>
      <c r="N81" s="62"/>
      <c r="O81" s="66"/>
      <c r="P81" s="12" t="s">
        <v>572</v>
      </c>
      <c r="Q81" s="68">
        <f>IF(F48="外壁",5,6)</f>
        <v>5</v>
      </c>
      <c r="U81" s="91"/>
      <c r="V81" s="314"/>
      <c r="Y81" s="91"/>
      <c r="Z81" s="314"/>
    </row>
    <row r="82" spans="1:32" ht="15" customHeight="1" x14ac:dyDescent="0.25">
      <c r="A82" s="492" t="s">
        <v>303</v>
      </c>
      <c r="B82" s="490">
        <f>IF(J47&gt;N47,J47-N47,N47-J47)</f>
        <v>11.4</v>
      </c>
      <c r="C82" s="465" t="s">
        <v>707</v>
      </c>
      <c r="D82" s="489">
        <f>F80*B82*3600/1000</f>
        <v>186.54545454545459</v>
      </c>
      <c r="E82" s="466" t="s">
        <v>713</v>
      </c>
      <c r="F82" s="489">
        <f>D82*24</f>
        <v>4477.0909090909099</v>
      </c>
      <c r="G82" s="467" t="s">
        <v>714</v>
      </c>
      <c r="H82" s="65"/>
      <c r="I82" s="483"/>
      <c r="J82" s="483"/>
      <c r="K82" s="484"/>
      <c r="L82" s="484"/>
      <c r="M82" s="62"/>
      <c r="N82" s="62"/>
      <c r="O82" s="66"/>
      <c r="P82" s="12" t="s">
        <v>573</v>
      </c>
      <c r="Q82" s="68">
        <f>IF(F48="外壁",5,6)</f>
        <v>5</v>
      </c>
      <c r="Z82" s="91"/>
    </row>
    <row r="83" spans="1:32" ht="15" customHeight="1" x14ac:dyDescent="0.25">
      <c r="A83" s="572" t="s">
        <v>709</v>
      </c>
      <c r="B83" s="583"/>
      <c r="C83" s="583"/>
      <c r="D83" s="471"/>
      <c r="E83" s="472"/>
      <c r="F83" s="584">
        <f>SUM(H52:H77)</f>
        <v>8.8386915789473691E-4</v>
      </c>
      <c r="G83" s="585"/>
      <c r="H83" s="65"/>
      <c r="I83" s="483"/>
      <c r="J83" s="483"/>
      <c r="K83" s="484"/>
      <c r="L83" s="484"/>
      <c r="M83" s="62"/>
      <c r="N83" s="62"/>
      <c r="O83" s="66"/>
      <c r="P83" s="12" t="s">
        <v>574</v>
      </c>
      <c r="Q83" s="68">
        <f>IF(F48="外壁",3,4)</f>
        <v>3</v>
      </c>
      <c r="Z83" s="91"/>
    </row>
    <row r="84" spans="1:32" ht="15" customHeight="1" x14ac:dyDescent="0.25">
      <c r="A84" s="573"/>
      <c r="B84" s="574"/>
      <c r="C84" s="574"/>
      <c r="D84" s="463"/>
      <c r="E84" s="464"/>
      <c r="F84" s="586"/>
      <c r="G84" s="587"/>
      <c r="H84" s="65"/>
      <c r="I84" s="483"/>
      <c r="J84" s="483"/>
      <c r="K84" s="484"/>
      <c r="L84" s="484"/>
      <c r="M84" s="62"/>
      <c r="N84" s="62"/>
      <c r="O84" s="66"/>
      <c r="P84" s="12" t="s">
        <v>575</v>
      </c>
      <c r="Q84" s="68">
        <f>IF(F48="外壁",2,3)</f>
        <v>2</v>
      </c>
      <c r="Z84" s="91"/>
    </row>
    <row r="85" spans="1:32" ht="15" customHeight="1" x14ac:dyDescent="0.25">
      <c r="A85" s="568" t="s">
        <v>710</v>
      </c>
      <c r="B85" s="569"/>
      <c r="C85" s="569"/>
      <c r="D85" s="459"/>
      <c r="E85" s="460"/>
      <c r="F85" s="589">
        <f>1/F83</f>
        <v>1131.3891779885971</v>
      </c>
      <c r="G85" s="590"/>
      <c r="H85" s="65"/>
      <c r="I85" s="483"/>
      <c r="J85" s="483"/>
      <c r="K85" s="484"/>
      <c r="L85" s="484"/>
      <c r="M85" s="62"/>
      <c r="N85" s="62"/>
      <c r="O85" s="66"/>
      <c r="P85" s="12" t="s">
        <v>576</v>
      </c>
      <c r="Q85" s="68">
        <f>IF(F48="外壁",2,3)</f>
        <v>2</v>
      </c>
      <c r="Z85" s="13"/>
    </row>
    <row r="86" spans="1:32" ht="15" customHeight="1" x14ac:dyDescent="0.25">
      <c r="A86" s="568"/>
      <c r="B86" s="569"/>
      <c r="C86" s="569"/>
      <c r="D86" s="462"/>
      <c r="E86" s="461"/>
      <c r="F86" s="589"/>
      <c r="G86" s="590"/>
      <c r="H86" s="65"/>
      <c r="I86" s="483"/>
      <c r="J86" s="483"/>
      <c r="K86" s="484"/>
      <c r="L86" s="484"/>
      <c r="M86" s="62"/>
      <c r="N86" s="62"/>
      <c r="O86" s="66"/>
      <c r="P86" s="12" t="s">
        <v>577</v>
      </c>
      <c r="Q86" s="68">
        <f>IF(F48="外壁",2,3)</f>
        <v>2</v>
      </c>
      <c r="T86" s="16"/>
      <c r="U86" s="91"/>
      <c r="V86" s="91"/>
      <c r="X86" s="16"/>
      <c r="Y86" s="91"/>
      <c r="Z86" s="91"/>
    </row>
    <row r="87" spans="1:32" ht="15" customHeight="1" x14ac:dyDescent="0.25">
      <c r="A87" s="96" t="s">
        <v>711</v>
      </c>
      <c r="B87" s="491">
        <f>IF(J49&gt;N49,J49-N49,N49-J49)</f>
        <v>469.78525078023483</v>
      </c>
      <c r="C87" s="473" t="s">
        <v>708</v>
      </c>
      <c r="D87" s="488">
        <f>F85*B87*3600*10^-9</f>
        <v>1.9134358153611006</v>
      </c>
      <c r="E87" s="98" t="s">
        <v>712</v>
      </c>
      <c r="F87" s="488">
        <f>D87*24</f>
        <v>45.922459568666412</v>
      </c>
      <c r="G87" s="99" t="s">
        <v>715</v>
      </c>
      <c r="H87" s="65"/>
      <c r="I87" s="483"/>
      <c r="J87" s="483"/>
      <c r="K87" s="484"/>
      <c r="L87" s="484"/>
      <c r="M87" s="62"/>
      <c r="N87" s="62"/>
      <c r="O87" s="66"/>
      <c r="P87" s="12" t="s">
        <v>578</v>
      </c>
      <c r="Q87" s="72" t="s">
        <v>9</v>
      </c>
      <c r="U87" s="13"/>
      <c r="V87" s="13"/>
      <c r="Y87" s="13"/>
      <c r="Z87" s="13"/>
    </row>
    <row r="88" spans="1:32" ht="15" customHeight="1" x14ac:dyDescent="0.25">
      <c r="A88" s="591" t="s">
        <v>102</v>
      </c>
      <c r="B88" s="592"/>
      <c r="C88" s="468" t="s">
        <v>103</v>
      </c>
      <c r="D88" s="469">
        <f>$T$22</f>
        <v>15</v>
      </c>
      <c r="E88" s="470" t="s">
        <v>104</v>
      </c>
      <c r="F88" s="469">
        <f>$D$264-($J47-$D89)*G52/$F78</f>
        <v>6</v>
      </c>
      <c r="G88" s="595" t="str">
        <f>IF(F89&lt;F88,"○","×")</f>
        <v>×</v>
      </c>
      <c r="H88" s="63"/>
      <c r="M88" s="75"/>
      <c r="N88" s="75"/>
      <c r="O88" s="76"/>
      <c r="P88" s="75"/>
      <c r="Q88" s="75"/>
      <c r="R88" s="50"/>
      <c r="U88" s="13"/>
      <c r="V88" s="13"/>
      <c r="Y88" s="13"/>
      <c r="Z88" s="13"/>
    </row>
    <row r="89" spans="1:32" ht="15" customHeight="1" x14ac:dyDescent="0.25">
      <c r="A89" s="593"/>
      <c r="B89" s="594"/>
      <c r="C89" s="455" t="s">
        <v>55</v>
      </c>
      <c r="D89" s="456">
        <f>VLOOKUP(E48,$S$23:$U$30,2,FALSE)</f>
        <v>-3</v>
      </c>
      <c r="E89" s="457" t="s">
        <v>16</v>
      </c>
      <c r="F89" s="458">
        <f>237.3/((7.5/LOG10(((6.11*10^(7.5*$T$22/($T$22+237.3))*$U$22/100)-((6.11*10^(7.5*$T$22/($T$22+237.3))*$U$22/100)-(6.11*10^(7.5*$D89/($D89+237.3))*$N48/100))*H52/F83)/6.11))-1)</f>
        <v>7.0843168861848973</v>
      </c>
      <c r="G89" s="596"/>
      <c r="H89" s="52"/>
      <c r="I89" s="77"/>
      <c r="J89" s="77"/>
      <c r="K89" s="77"/>
      <c r="L89" s="77"/>
      <c r="M89" s="78"/>
      <c r="N89" s="78"/>
      <c r="O89" s="79"/>
      <c r="P89" s="75"/>
      <c r="Q89" s="75"/>
      <c r="R89" s="46"/>
      <c r="S89" s="16"/>
      <c r="T89" s="31"/>
      <c r="U89" s="31"/>
      <c r="W89" s="16"/>
      <c r="X89" s="31"/>
      <c r="Y89" s="31"/>
    </row>
    <row r="90" spans="1:32" ht="12.75" customHeight="1" x14ac:dyDescent="0.25">
      <c r="A90" s="2"/>
      <c r="B90" s="2"/>
      <c r="C90" s="2"/>
      <c r="D90" s="2"/>
      <c r="E90" s="2"/>
      <c r="F90" s="2"/>
      <c r="G90" s="2"/>
      <c r="H90" s="2"/>
      <c r="I90" s="93"/>
      <c r="J90" s="93"/>
      <c r="K90" s="94"/>
      <c r="L90" s="94"/>
      <c r="M90" s="82"/>
      <c r="N90" s="82"/>
      <c r="O90" s="82"/>
      <c r="P90" s="82"/>
      <c r="Q90" s="82"/>
      <c r="R90" s="46"/>
      <c r="S90" s="16"/>
      <c r="T90" s="31"/>
      <c r="U90" s="31"/>
      <c r="W90" s="16"/>
      <c r="X90" s="31"/>
      <c r="Y90" s="31"/>
    </row>
    <row r="91" spans="1:32" ht="12" customHeight="1" x14ac:dyDescent="0.25">
      <c r="A91" s="505" t="s">
        <v>188</v>
      </c>
      <c r="B91" s="551"/>
      <c r="C91" s="552"/>
      <c r="D91" s="553"/>
      <c r="E91" s="476" t="s">
        <v>276</v>
      </c>
      <c r="F91" s="477" t="s">
        <v>111</v>
      </c>
      <c r="G91" s="478" t="s">
        <v>190</v>
      </c>
      <c r="H91" s="505" t="s">
        <v>191</v>
      </c>
      <c r="I91" s="479" t="s">
        <v>192</v>
      </c>
      <c r="J91" s="517">
        <f>IF(G92="冬型結露",$T$3,26)</f>
        <v>15</v>
      </c>
      <c r="K91" s="518"/>
      <c r="L91" s="505" t="s">
        <v>193</v>
      </c>
      <c r="M91" s="479" t="s">
        <v>192</v>
      </c>
      <c r="N91" s="517">
        <f>IF(G92="夏型結露",VLOOKUP(F92,$S$16:$U$19,2,FALSE),VLOOKUP(E92,$S$5:$U$12,2,FALSE))</f>
        <v>3.6</v>
      </c>
      <c r="O91" s="518"/>
      <c r="P91" s="19"/>
      <c r="Q91" s="19"/>
      <c r="R91" s="47"/>
      <c r="S91" s="16"/>
      <c r="T91" s="31"/>
      <c r="U91" s="31"/>
      <c r="W91" s="16"/>
      <c r="X91" s="31"/>
      <c r="Y91" s="31"/>
      <c r="AB91" s="16" t="s">
        <v>73</v>
      </c>
      <c r="AC91" s="16" t="s">
        <v>194</v>
      </c>
      <c r="AD91" s="16" t="s">
        <v>195</v>
      </c>
      <c r="AE91" s="16" t="s">
        <v>196</v>
      </c>
      <c r="AF91" s="16" t="s">
        <v>197</v>
      </c>
    </row>
    <row r="92" spans="1:32" ht="12" customHeight="1" x14ac:dyDescent="0.25">
      <c r="A92" s="506"/>
      <c r="B92" s="554"/>
      <c r="C92" s="555"/>
      <c r="D92" s="556"/>
      <c r="E92" s="536" t="s">
        <v>38</v>
      </c>
      <c r="F92" s="527" t="s">
        <v>53</v>
      </c>
      <c r="G92" s="538" t="s">
        <v>52</v>
      </c>
      <c r="H92" s="506"/>
      <c r="I92" s="21" t="s">
        <v>198</v>
      </c>
      <c r="J92" s="515">
        <f>IF(G92="冬型結露",$U$3,60)</f>
        <v>60</v>
      </c>
      <c r="K92" s="516"/>
      <c r="L92" s="506"/>
      <c r="M92" s="21" t="s">
        <v>198</v>
      </c>
      <c r="N92" s="515">
        <f>IF(G92="夏型結露",VLOOKUP(F92,$S$16:$U$19,3,FALSE),VLOOKUP(E92,$S$5:$U$12,3,FALSE))</f>
        <v>70</v>
      </c>
      <c r="O92" s="516"/>
      <c r="P92" s="22"/>
      <c r="Q92" s="22"/>
      <c r="R92" s="47"/>
      <c r="S92" s="16"/>
      <c r="T92" s="31"/>
      <c r="U92" s="31"/>
      <c r="W92" s="16"/>
      <c r="X92" s="31"/>
      <c r="Y92" s="31"/>
      <c r="AD92" s="26">
        <v>0</v>
      </c>
      <c r="AE92" s="26">
        <f>J91</f>
        <v>15</v>
      </c>
      <c r="AF92" s="26">
        <f>237.3/((7.5/LOG10(J93/611))-1)</f>
        <v>7.3061185391618908</v>
      </c>
    </row>
    <row r="93" spans="1:32" ht="12" customHeight="1" x14ac:dyDescent="0.25">
      <c r="A93" s="507"/>
      <c r="B93" s="557"/>
      <c r="C93" s="558"/>
      <c r="D93" s="559"/>
      <c r="E93" s="537"/>
      <c r="F93" s="528"/>
      <c r="G93" s="539"/>
      <c r="H93" s="507"/>
      <c r="I93" s="27" t="s">
        <v>201</v>
      </c>
      <c r="J93" s="513">
        <f>EXP(-6096.938/(J91+273.15)+21.2409642-2.711193*10^-2*(J91+273.15)+1.673952*10^-5*(J91+273.15)^2+2.433502*LN((J91+273.15)))*J92/100</f>
        <v>1023.4297740044822</v>
      </c>
      <c r="K93" s="514"/>
      <c r="L93" s="507"/>
      <c r="M93" s="28" t="s">
        <v>201</v>
      </c>
      <c r="N93" s="513">
        <f>EXP(-6096.938/(N91+273.15)+21.2409642-2.711193*10^-2*(N91+273.15)+1.673952*10^-5*(N91+273.15)^2+2.433502*LN((N91+273.15)))*N92/100</f>
        <v>553.64452322424734</v>
      </c>
      <c r="O93" s="514"/>
      <c r="P93" s="29"/>
      <c r="Q93" s="29"/>
      <c r="R93" s="50"/>
      <c r="S93" s="16"/>
      <c r="T93" s="16"/>
      <c r="W93" s="16"/>
      <c r="X93" s="16"/>
      <c r="AD93" s="26">
        <v>47</v>
      </c>
      <c r="AE93" s="26">
        <f>J91</f>
        <v>15</v>
      </c>
      <c r="AF93" s="26">
        <f>237.3/((7.5/LOG10(J93/611))-1)</f>
        <v>7.3061185391618908</v>
      </c>
    </row>
    <row r="94" spans="1:32" ht="12" customHeight="1" x14ac:dyDescent="0.25">
      <c r="A94" s="506" t="s">
        <v>286</v>
      </c>
      <c r="B94" s="564" t="s">
        <v>296</v>
      </c>
      <c r="C94" s="565"/>
      <c r="D94" s="35" t="s">
        <v>293</v>
      </c>
      <c r="E94" s="33" t="s">
        <v>203</v>
      </c>
      <c r="F94" s="36" t="s">
        <v>294</v>
      </c>
      <c r="G94" s="37" t="s">
        <v>295</v>
      </c>
      <c r="H94" s="37" t="s">
        <v>204</v>
      </c>
      <c r="I94" s="34" t="s">
        <v>196</v>
      </c>
      <c r="J94" s="34" t="s">
        <v>197</v>
      </c>
      <c r="K94" s="35" t="s">
        <v>205</v>
      </c>
      <c r="L94" s="36" t="s">
        <v>201</v>
      </c>
      <c r="M94" s="498" t="s">
        <v>206</v>
      </c>
      <c r="N94" s="480" t="s">
        <v>124</v>
      </c>
      <c r="O94" s="480" t="s">
        <v>207</v>
      </c>
      <c r="P94" s="38" t="s">
        <v>568</v>
      </c>
      <c r="Q94" s="38" t="s">
        <v>569</v>
      </c>
      <c r="R94" s="50"/>
      <c r="T94" s="31"/>
      <c r="U94" s="31"/>
      <c r="V94" s="13"/>
      <c r="X94" s="31"/>
      <c r="Y94" s="31"/>
      <c r="Z94" s="13"/>
      <c r="AB94" s="16" t="s">
        <v>209</v>
      </c>
      <c r="AC94" s="13">
        <v>50</v>
      </c>
      <c r="AD94" s="26">
        <f>AC94</f>
        <v>50</v>
      </c>
      <c r="AE94" s="26">
        <f>I96</f>
        <v>9.3000000000000007</v>
      </c>
      <c r="AF94" s="26">
        <f>J96</f>
        <v>7.1525963981427259</v>
      </c>
    </row>
    <row r="95" spans="1:32" ht="12" customHeight="1" x14ac:dyDescent="0.25">
      <c r="A95" s="507"/>
      <c r="B95" s="566"/>
      <c r="C95" s="567"/>
      <c r="D95" s="42" t="s">
        <v>125</v>
      </c>
      <c r="E95" s="40" t="s">
        <v>210</v>
      </c>
      <c r="F95" s="43" t="s">
        <v>211</v>
      </c>
      <c r="G95" s="44" t="s">
        <v>212</v>
      </c>
      <c r="H95" s="44" t="s">
        <v>213</v>
      </c>
      <c r="I95" s="41" t="s">
        <v>214</v>
      </c>
      <c r="J95" s="41" t="s">
        <v>215</v>
      </c>
      <c r="K95" s="42" t="s">
        <v>216</v>
      </c>
      <c r="L95" s="43" t="s">
        <v>216</v>
      </c>
      <c r="M95" s="499"/>
      <c r="N95" s="44" t="s">
        <v>113</v>
      </c>
      <c r="O95" s="44" t="s">
        <v>217</v>
      </c>
      <c r="P95" s="44" t="s">
        <v>217</v>
      </c>
      <c r="Q95" s="44" t="s">
        <v>570</v>
      </c>
      <c r="T95" s="16"/>
      <c r="U95" s="31"/>
      <c r="V95" s="13"/>
      <c r="X95" s="16"/>
      <c r="Y95" s="31"/>
      <c r="Z95" s="13"/>
      <c r="AB95" s="16">
        <v>1</v>
      </c>
      <c r="AC95" s="45">
        <f>F97</f>
        <v>0</v>
      </c>
      <c r="AD95" s="26">
        <f>AC95+AD94</f>
        <v>50</v>
      </c>
      <c r="AE95" s="26">
        <f>I98</f>
        <v>9.3000000000000007</v>
      </c>
      <c r="AF95" s="26">
        <f>J98</f>
        <v>7.1525963981427259</v>
      </c>
    </row>
    <row r="96" spans="1:32" ht="12" customHeight="1" x14ac:dyDescent="0.25">
      <c r="A96" s="475" t="s">
        <v>186</v>
      </c>
      <c r="B96" s="540" t="s">
        <v>218</v>
      </c>
      <c r="C96" s="541"/>
      <c r="D96" s="542" t="str">
        <f>F92</f>
        <v>外壁</v>
      </c>
      <c r="E96" s="543"/>
      <c r="F96" s="544"/>
      <c r="G96" s="481">
        <f>IF(F92="屋根",0.09,IF(F92="外壁",0.11,IF(F92="天井",0.09,0.15)))</f>
        <v>0.11</v>
      </c>
      <c r="H96" s="482">
        <f>IF(F92="屋根",0.042,IF(F92="外壁",0.042,IF(F92="天井",0.042,0.042)))*3600*10^-9/760*1.013*10^5</f>
        <v>2.0153368421052633E-5</v>
      </c>
      <c r="I96" s="560">
        <f>J91-(J91-N91)*G96/F122</f>
        <v>9.3000000000000007</v>
      </c>
      <c r="J96" s="561">
        <f>237.3/((7.5/LOG10(L96/611))-1)</f>
        <v>7.1525963981427259</v>
      </c>
      <c r="K96" s="529">
        <f>EXP(-6096.938/(I96+273.15)+21.2409642-2.711193*10^-2*(I96+273.15)+1.673952*10^-5*(I96+273.15)^2+2.433502*LN((I96+273.15)))</f>
        <v>1171.7052017269605</v>
      </c>
      <c r="L96" s="530">
        <f>J93-(J93-N93)*H96/F127</f>
        <v>1012.7180581886462</v>
      </c>
      <c r="M96" s="512" t="str">
        <f>IF(L96/K96&lt;1,"○","×")</f>
        <v>○</v>
      </c>
      <c r="N96" s="500">
        <f>IF(L96/K96&gt;1,1,L96/K96)</f>
        <v>0.86431131029888297</v>
      </c>
      <c r="O96" s="501">
        <f>EXP(1.32774+7.80136*10^-2*I96-2.87894*10^-4*I96^2+1.36152*10^-6*I96^3+3.49024*10^-9*I96^4-4.87306*10^-3*ABS(I96))</f>
        <v>7.2729961141877615</v>
      </c>
      <c r="P96" s="497">
        <f>O96*N96</f>
        <v>6.2861328012523083</v>
      </c>
      <c r="Q96" s="497">
        <f>1.005*I96+(O96/1000)*(2501.1+1.846*I96)</f>
        <v>27.661851923884161</v>
      </c>
      <c r="S96" s="16"/>
      <c r="T96" s="31"/>
      <c r="U96" s="31"/>
      <c r="V96" s="13"/>
      <c r="W96" s="16"/>
      <c r="X96" s="31"/>
      <c r="Y96" s="31"/>
      <c r="Z96" s="13"/>
      <c r="AB96" s="16">
        <v>2</v>
      </c>
      <c r="AC96" s="45">
        <f>F99</f>
        <v>0</v>
      </c>
      <c r="AD96" s="26">
        <f>AD95+AC96</f>
        <v>50</v>
      </c>
      <c r="AE96" s="26">
        <f>I100</f>
        <v>9.3000000000000007</v>
      </c>
      <c r="AF96" s="26">
        <f>J100</f>
        <v>7.1525963981427259</v>
      </c>
    </row>
    <row r="97" spans="1:32" ht="12" customHeight="1" x14ac:dyDescent="0.25">
      <c r="A97" s="545" t="s">
        <v>119</v>
      </c>
      <c r="B97" s="547"/>
      <c r="C97" s="548"/>
      <c r="D97" s="534" t="str">
        <f>IF(B97="","",VLOOKUP(B97,素材データ!$A$5:$AA$384,2,FALSE))</f>
        <v/>
      </c>
      <c r="E97" s="534" t="str">
        <f>IF(B97="","",VLOOKUP(B97,素材データ!$A$5:$AA$384,4,FALSE))</f>
        <v/>
      </c>
      <c r="F97" s="523"/>
      <c r="G97" s="525">
        <f>IF(D97="",0,IF(D97=0,VLOOKUP(B97,素材データ!$A$5:$AA$364,9,FALSE),IF(D97=0,0,F97/D97/1000)))</f>
        <v>0</v>
      </c>
      <c r="H97" s="532">
        <f>IF(E97="",0,IF(E97=0,VLOOKUP(B97,素材データ!$A$5:$AA$364,11,FALSE),E97*F97/1000))</f>
        <v>0</v>
      </c>
      <c r="I97" s="531"/>
      <c r="J97" s="520"/>
      <c r="K97" s="519"/>
      <c r="L97" s="504"/>
      <c r="M97" s="495"/>
      <c r="N97" s="494"/>
      <c r="O97" s="496"/>
      <c r="P97" s="496"/>
      <c r="Q97" s="496"/>
      <c r="S97" s="16"/>
      <c r="T97" s="31"/>
      <c r="U97" s="31"/>
      <c r="V97" s="13"/>
      <c r="W97" s="16"/>
      <c r="X97" s="31"/>
      <c r="Y97" s="31"/>
      <c r="Z97" s="13"/>
      <c r="AB97" s="16">
        <v>3</v>
      </c>
      <c r="AC97" s="45">
        <f>F101</f>
        <v>0</v>
      </c>
      <c r="AD97" s="26">
        <f>AD96+AC97</f>
        <v>50</v>
      </c>
      <c r="AE97" s="26">
        <f>I102</f>
        <v>9.3000000000000007</v>
      </c>
      <c r="AF97" s="26">
        <f>J102</f>
        <v>7.1525963981427259</v>
      </c>
    </row>
    <row r="98" spans="1:32" ht="12" customHeight="1" x14ac:dyDescent="0.25">
      <c r="A98" s="546"/>
      <c r="B98" s="549"/>
      <c r="C98" s="550"/>
      <c r="D98" s="535"/>
      <c r="E98" s="535"/>
      <c r="F98" s="524"/>
      <c r="G98" s="526"/>
      <c r="H98" s="533"/>
      <c r="I98" s="531">
        <f>J91-(J91-N91)*(G96+G97)/F122</f>
        <v>9.3000000000000007</v>
      </c>
      <c r="J98" s="520">
        <f>237.3/((7.5/LOG10(L98/611))-1)</f>
        <v>7.1525963981427259</v>
      </c>
      <c r="K98" s="519">
        <f>EXP(-6096.938/(I98+273.15)+21.2409642-2.711193*10^-2*(I98+273.15)+1.673952*10^-5*(I98+273.15)^2+2.433502*LN((I98+273.15)))</f>
        <v>1171.7052017269605</v>
      </c>
      <c r="L98" s="504">
        <f>J93-(J93-N93)*(H96+H97)/F127</f>
        <v>1012.7180581886462</v>
      </c>
      <c r="M98" s="495" t="str">
        <f>IF(L98/K98&lt;1,"○","×")</f>
        <v>○</v>
      </c>
      <c r="N98" s="494">
        <f>IF(L98/K98&gt;1,1,L98/K98)</f>
        <v>0.86431131029888297</v>
      </c>
      <c r="O98" s="496">
        <f>EXP(1.32774+7.80136*10^-2*I98-2.87894*10^-4*I98^2+1.36152*10^-6*I98^3+3.49024*10^-9*I98^4-4.87306*10^-3*ABS(I98))</f>
        <v>7.2729961141877615</v>
      </c>
      <c r="P98" s="497">
        <f t="shared" ref="P98" si="50">O98*N98</f>
        <v>6.2861328012523083</v>
      </c>
      <c r="Q98" s="497">
        <f t="shared" ref="Q98" si="51">1.005*I98+(O98/1000)*(2501.1+1.846*I98)</f>
        <v>27.661851923884161</v>
      </c>
      <c r="AB98" s="16">
        <v>4</v>
      </c>
      <c r="AC98" s="45">
        <f>F103</f>
        <v>0</v>
      </c>
      <c r="AD98" s="26">
        <f t="shared" ref="AD98:AD108" si="52">AD97+AC98</f>
        <v>50</v>
      </c>
      <c r="AE98" s="26">
        <f>I104</f>
        <v>9.3000000000000007</v>
      </c>
      <c r="AF98" s="26">
        <f>J104</f>
        <v>7.1525963981427259</v>
      </c>
    </row>
    <row r="99" spans="1:32" ht="12" customHeight="1" x14ac:dyDescent="0.25">
      <c r="A99" s="545" t="s">
        <v>120</v>
      </c>
      <c r="B99" s="547"/>
      <c r="C99" s="548"/>
      <c r="D99" s="534" t="str">
        <f>IF(B99="","",VLOOKUP(B99,素材データ!$A$5:$AA$384,2,FALSE))</f>
        <v/>
      </c>
      <c r="E99" s="534" t="str">
        <f>IF(B99="","",VLOOKUP(B99,素材データ!$A$5:$AA$384,4,FALSE))</f>
        <v/>
      </c>
      <c r="F99" s="523"/>
      <c r="G99" s="525">
        <f>IF(D99="",0,IF(D99=0,VLOOKUP(B99,素材データ!$A$5:$AA$364,9,FALSE),IF(D99=0,0,F99/D99/1000)))</f>
        <v>0</v>
      </c>
      <c r="H99" s="532">
        <f>IF(E99="",0,IF(E99=0,VLOOKUP(B99,素材データ!$A$5:$AA$364,11,FALSE),E99*F99/1000))</f>
        <v>0</v>
      </c>
      <c r="I99" s="531"/>
      <c r="J99" s="520"/>
      <c r="K99" s="519"/>
      <c r="L99" s="504"/>
      <c r="M99" s="495"/>
      <c r="N99" s="494"/>
      <c r="O99" s="496"/>
      <c r="P99" s="496"/>
      <c r="Q99" s="496"/>
      <c r="V99" s="13"/>
      <c r="Z99" s="13"/>
      <c r="AB99" s="16">
        <v>5</v>
      </c>
      <c r="AC99" s="45">
        <f>F105</f>
        <v>0</v>
      </c>
      <c r="AD99" s="26">
        <f t="shared" si="52"/>
        <v>50</v>
      </c>
      <c r="AE99" s="26">
        <f>I106</f>
        <v>9.3000000000000007</v>
      </c>
      <c r="AF99" s="26">
        <f>J106</f>
        <v>7.1525963981427259</v>
      </c>
    </row>
    <row r="100" spans="1:32" ht="12" customHeight="1" x14ac:dyDescent="0.25">
      <c r="A100" s="546"/>
      <c r="B100" s="549"/>
      <c r="C100" s="550"/>
      <c r="D100" s="535"/>
      <c r="E100" s="535"/>
      <c r="F100" s="524"/>
      <c r="G100" s="526"/>
      <c r="H100" s="533"/>
      <c r="I100" s="531">
        <f>J91-(J91-N91)*(G96+G97+G99)/F122</f>
        <v>9.3000000000000007</v>
      </c>
      <c r="J100" s="520">
        <f>237.3/((7.5/LOG10(L100/611))-1)</f>
        <v>7.1525963981427259</v>
      </c>
      <c r="K100" s="519">
        <f>EXP(-6096.938/(I100+273.15)+21.2409642-2.711193*10^-2*(I100+273.15)+1.673952*10^-5*(I100+273.15)^2+2.433502*LN((I100+273.15)))</f>
        <v>1171.7052017269605</v>
      </c>
      <c r="L100" s="504">
        <f>J93-(J93-N93)*(H96+H97+H99)/F127</f>
        <v>1012.7180581886462</v>
      </c>
      <c r="M100" s="495" t="str">
        <f>IF(L100/K100&lt;1,"○","×")</f>
        <v>○</v>
      </c>
      <c r="N100" s="494">
        <f>IF(L100/K100&gt;1,1,L100/K100)</f>
        <v>0.86431131029888297</v>
      </c>
      <c r="O100" s="496">
        <f>EXP(1.32774+7.80136*10^-2*I100-2.87894*10^-4*I100^2+1.36152*10^-6*I100^3+3.49024*10^-9*I100^4-4.87306*10^-3*ABS(I100))</f>
        <v>7.2729961141877615</v>
      </c>
      <c r="P100" s="497">
        <f t="shared" ref="P100" si="53">O100*N100</f>
        <v>6.2861328012523083</v>
      </c>
      <c r="Q100" s="497">
        <f t="shared" ref="Q100" si="54">1.005*I100+(O100/1000)*(2501.1+1.846*I100)</f>
        <v>27.661851923884161</v>
      </c>
      <c r="S100" s="16"/>
      <c r="T100" s="92"/>
      <c r="U100" s="92"/>
      <c r="V100" s="13"/>
      <c r="W100" s="16"/>
      <c r="X100" s="92"/>
      <c r="Y100" s="92"/>
      <c r="Z100" s="13"/>
      <c r="AB100" s="16">
        <v>6</v>
      </c>
      <c r="AC100" s="45">
        <f>F107</f>
        <v>0</v>
      </c>
      <c r="AD100" s="26">
        <f t="shared" si="52"/>
        <v>50</v>
      </c>
      <c r="AE100" s="26">
        <f>I108</f>
        <v>9.3000000000000007</v>
      </c>
      <c r="AF100" s="26">
        <f>J108</f>
        <v>7.1525963981427259</v>
      </c>
    </row>
    <row r="101" spans="1:32" ht="12" customHeight="1" x14ac:dyDescent="0.25">
      <c r="A101" s="545" t="s">
        <v>121</v>
      </c>
      <c r="B101" s="547"/>
      <c r="C101" s="548"/>
      <c r="D101" s="534" t="str">
        <f>IF(B101="","",VLOOKUP(B101,素材データ!$A$5:$AA$384,2,FALSE))</f>
        <v/>
      </c>
      <c r="E101" s="534" t="str">
        <f>IF(B101="","",VLOOKUP(B101,素材データ!$A$5:$AA$384,4,FALSE))</f>
        <v/>
      </c>
      <c r="F101" s="523"/>
      <c r="G101" s="525">
        <f>IF(D101="",0,IF(D101=0,VLOOKUP(B101,素材データ!$A$5:$AA$364,9,FALSE),IF(D101=0,0,F101/D101/1000)))</f>
        <v>0</v>
      </c>
      <c r="H101" s="532">
        <f>IF(E101="",0,IF(E101=0,VLOOKUP(B101,素材データ!$A$5:$AA$364,11,FALSE),E101*F101/1000))</f>
        <v>0</v>
      </c>
      <c r="I101" s="531"/>
      <c r="J101" s="520"/>
      <c r="K101" s="519"/>
      <c r="L101" s="504"/>
      <c r="M101" s="495"/>
      <c r="N101" s="494"/>
      <c r="O101" s="496"/>
      <c r="P101" s="496"/>
      <c r="Q101" s="496"/>
      <c r="S101" s="16"/>
      <c r="T101" s="92"/>
      <c r="U101" s="92"/>
      <c r="V101" s="13"/>
      <c r="W101" s="16"/>
      <c r="X101" s="92"/>
      <c r="Y101" s="92"/>
      <c r="Z101" s="13"/>
      <c r="AB101" s="16">
        <v>7</v>
      </c>
      <c r="AC101" s="45">
        <f>F109</f>
        <v>0</v>
      </c>
      <c r="AD101" s="26">
        <f t="shared" si="52"/>
        <v>50</v>
      </c>
      <c r="AE101" s="26">
        <f>I110</f>
        <v>9.3000000000000007</v>
      </c>
      <c r="AF101" s="26">
        <f>J110</f>
        <v>7.1525963981427259</v>
      </c>
    </row>
    <row r="102" spans="1:32" ht="12" customHeight="1" x14ac:dyDescent="0.25">
      <c r="A102" s="546"/>
      <c r="B102" s="549"/>
      <c r="C102" s="550"/>
      <c r="D102" s="535"/>
      <c r="E102" s="535"/>
      <c r="F102" s="524"/>
      <c r="G102" s="526"/>
      <c r="H102" s="533"/>
      <c r="I102" s="531">
        <f>J91-(J91-N91)*(G96+G97+G99+G101)/F122</f>
        <v>9.3000000000000007</v>
      </c>
      <c r="J102" s="520">
        <f>237.3/((7.5/LOG10(L102/611))-1)</f>
        <v>7.1525963981427259</v>
      </c>
      <c r="K102" s="519">
        <f>EXP(-6096.938/(I102+273.15)+21.2409642-2.711193*10^-2*(I102+273.15)+1.673952*10^-5*(I102+273.15)^2+2.433502*LN((I102+273.15)))</f>
        <v>1171.7052017269605</v>
      </c>
      <c r="L102" s="504">
        <f>J93-(J93-N93)*(H96+H97+H99+H101)/F127</f>
        <v>1012.7180581886462</v>
      </c>
      <c r="M102" s="495" t="str">
        <f>IF(L102/K102&lt;1,"○","×")</f>
        <v>○</v>
      </c>
      <c r="N102" s="494">
        <f>IF(L102/K102&gt;1,1,L102/K102)</f>
        <v>0.86431131029888297</v>
      </c>
      <c r="O102" s="496">
        <f>EXP(1.32774+7.80136*10^-2*I102-2.87894*10^-4*I102^2+1.36152*10^-6*I102^3+3.49024*10^-9*I102^4-4.87306*10^-3*ABS(I102))</f>
        <v>7.2729961141877615</v>
      </c>
      <c r="P102" s="497">
        <f t="shared" ref="P102" si="55">O102*N102</f>
        <v>6.2861328012523083</v>
      </c>
      <c r="Q102" s="497">
        <f t="shared" ref="Q102" si="56">1.005*I102+(O102/1000)*(2501.1+1.846*I102)</f>
        <v>27.661851923884161</v>
      </c>
      <c r="S102" s="16"/>
      <c r="T102" s="92"/>
      <c r="U102" s="92"/>
      <c r="V102" s="13"/>
      <c r="W102" s="16"/>
      <c r="X102" s="92"/>
      <c r="Y102" s="92"/>
      <c r="Z102" s="13"/>
      <c r="AB102" s="16">
        <v>8</v>
      </c>
      <c r="AC102" s="45">
        <f>F111</f>
        <v>0</v>
      </c>
      <c r="AD102" s="26">
        <f t="shared" si="52"/>
        <v>50</v>
      </c>
      <c r="AE102" s="26">
        <f>I112</f>
        <v>9.3000000000000007</v>
      </c>
      <c r="AF102" s="26">
        <f>J112</f>
        <v>7.1525963981427259</v>
      </c>
    </row>
    <row r="103" spans="1:32" ht="12" customHeight="1" x14ac:dyDescent="0.25">
      <c r="A103" s="545" t="s">
        <v>122</v>
      </c>
      <c r="B103" s="547"/>
      <c r="C103" s="548"/>
      <c r="D103" s="534" t="str">
        <f>IF(B103="","",VLOOKUP(B103,素材データ!$A$5:$AA$384,2,FALSE))</f>
        <v/>
      </c>
      <c r="E103" s="534" t="str">
        <f>IF(B103="","",VLOOKUP(B103,素材データ!$A$5:$AA$384,4,FALSE))</f>
        <v/>
      </c>
      <c r="F103" s="523"/>
      <c r="G103" s="525">
        <f>IF(D103="",0,IF(D103=0,VLOOKUP(B103,素材データ!$A$5:$AA$364,9,FALSE),IF(D103=0,0,F103/D103/1000)))</f>
        <v>0</v>
      </c>
      <c r="H103" s="532">
        <f>IF(E103="",0,IF(E103=0,VLOOKUP(B103,素材データ!$A$5:$AA$364,11,FALSE),E103*F103/1000))</f>
        <v>0</v>
      </c>
      <c r="I103" s="531"/>
      <c r="J103" s="520"/>
      <c r="K103" s="519"/>
      <c r="L103" s="504"/>
      <c r="M103" s="495"/>
      <c r="N103" s="494"/>
      <c r="O103" s="496"/>
      <c r="P103" s="496"/>
      <c r="Q103" s="496"/>
      <c r="S103" s="16"/>
      <c r="T103" s="92"/>
      <c r="U103" s="92"/>
      <c r="V103" s="13"/>
      <c r="W103" s="16"/>
      <c r="X103" s="92"/>
      <c r="Y103" s="92"/>
      <c r="Z103" s="13"/>
      <c r="AB103" s="16">
        <v>9</v>
      </c>
      <c r="AC103" s="45">
        <f>F113</f>
        <v>0</v>
      </c>
      <c r="AD103" s="26">
        <f t="shared" si="52"/>
        <v>50</v>
      </c>
      <c r="AE103" s="26">
        <f>I114</f>
        <v>9.3000000000000007</v>
      </c>
      <c r="AF103" s="26">
        <f>J114</f>
        <v>7.1525963981427259</v>
      </c>
    </row>
    <row r="104" spans="1:32" ht="12" customHeight="1" x14ac:dyDescent="0.25">
      <c r="A104" s="546"/>
      <c r="B104" s="549"/>
      <c r="C104" s="550"/>
      <c r="D104" s="535"/>
      <c r="E104" s="535"/>
      <c r="F104" s="524"/>
      <c r="G104" s="526"/>
      <c r="H104" s="533"/>
      <c r="I104" s="531">
        <f>J91-(J91-N91)*(G96+G97+G99+G101+G103)/F122</f>
        <v>9.3000000000000007</v>
      </c>
      <c r="J104" s="520">
        <f>237.3/((7.5/LOG10(L104/611))-1)</f>
        <v>7.1525963981427259</v>
      </c>
      <c r="K104" s="519">
        <f>EXP(-6096.938/(I104+273.15)+21.2409642-2.711193*10^-2*(I104+273.15)+1.673952*10^-5*(I104+273.15)^2+2.433502*LN((I104+273.15)))</f>
        <v>1171.7052017269605</v>
      </c>
      <c r="L104" s="504">
        <f>J93-(J93-N93)*(H96+H97+H99+H101+H103)/F127</f>
        <v>1012.7180581886462</v>
      </c>
      <c r="M104" s="495" t="str">
        <f>IF(L104/K104&lt;1,"○","×")</f>
        <v>○</v>
      </c>
      <c r="N104" s="494">
        <f>IF(L104/K104&gt;1,1,L104/K104)</f>
        <v>0.86431131029888297</v>
      </c>
      <c r="O104" s="496">
        <f>EXP(1.32774+7.80136*10^-2*I104-2.87894*10^-4*I104^2+1.36152*10^-6*I104^3+3.49024*10^-9*I104^4-4.87306*10^-3*ABS(I104))</f>
        <v>7.2729961141877615</v>
      </c>
      <c r="P104" s="497">
        <f t="shared" ref="P104" si="57">O104*N104</f>
        <v>6.2861328012523083</v>
      </c>
      <c r="Q104" s="497">
        <f t="shared" ref="Q104" si="58">1.005*I104+(O104/1000)*(2501.1+1.846*I104)</f>
        <v>27.661851923884161</v>
      </c>
      <c r="S104" s="16"/>
      <c r="T104" s="92"/>
      <c r="U104" s="92"/>
      <c r="V104" s="13"/>
      <c r="W104" s="16"/>
      <c r="X104" s="92"/>
      <c r="Y104" s="92"/>
      <c r="Z104" s="13"/>
      <c r="AB104" s="16">
        <v>10</v>
      </c>
      <c r="AC104" s="45">
        <f>F115</f>
        <v>0</v>
      </c>
      <c r="AD104" s="26">
        <f t="shared" si="52"/>
        <v>50</v>
      </c>
      <c r="AE104" s="26">
        <f>I116</f>
        <v>9.3000000000000007</v>
      </c>
      <c r="AF104" s="26">
        <f>J116</f>
        <v>7.1525963981427259</v>
      </c>
    </row>
    <row r="105" spans="1:32" ht="12" customHeight="1" x14ac:dyDescent="0.25">
      <c r="A105" s="545" t="s">
        <v>123</v>
      </c>
      <c r="B105" s="547"/>
      <c r="C105" s="548"/>
      <c r="D105" s="534" t="str">
        <f>IF(B105="","",VLOOKUP(B105,素材データ!$A$5:$AA$384,2,FALSE))</f>
        <v/>
      </c>
      <c r="E105" s="534" t="str">
        <f>IF(B105="","",VLOOKUP(B105,素材データ!$A$5:$AA$384,4,FALSE))</f>
        <v/>
      </c>
      <c r="F105" s="523"/>
      <c r="G105" s="525">
        <f>IF(D105="",0,IF(D105=0,VLOOKUP(B105,素材データ!$A$5:$AA$364,9,FALSE),IF(D105=0,0,F105/D105/1000)))</f>
        <v>0</v>
      </c>
      <c r="H105" s="532">
        <f>IF(E105="",0,IF(E105=0,VLOOKUP(B105,素材データ!$A$5:$AA$364,11,FALSE),E105*F105/1000))</f>
        <v>0</v>
      </c>
      <c r="I105" s="531"/>
      <c r="J105" s="520"/>
      <c r="K105" s="519"/>
      <c r="L105" s="504"/>
      <c r="M105" s="495"/>
      <c r="N105" s="494"/>
      <c r="O105" s="496"/>
      <c r="P105" s="496"/>
      <c r="Q105" s="496"/>
      <c r="S105" s="16"/>
      <c r="T105" s="92"/>
      <c r="U105" s="92"/>
      <c r="V105" s="13"/>
      <c r="W105" s="16"/>
      <c r="X105" s="92"/>
      <c r="Y105" s="92"/>
      <c r="Z105" s="13"/>
      <c r="AB105" s="16">
        <v>11</v>
      </c>
      <c r="AC105" s="45">
        <f>F117</f>
        <v>0</v>
      </c>
      <c r="AD105" s="26">
        <f t="shared" si="52"/>
        <v>50</v>
      </c>
      <c r="AE105" s="26">
        <f>I118</f>
        <v>9.3000000000000007</v>
      </c>
      <c r="AF105" s="26">
        <f>J118</f>
        <v>7.1525963981427259</v>
      </c>
    </row>
    <row r="106" spans="1:32" ht="12" customHeight="1" x14ac:dyDescent="0.25">
      <c r="A106" s="546"/>
      <c r="B106" s="549"/>
      <c r="C106" s="550"/>
      <c r="D106" s="535"/>
      <c r="E106" s="535"/>
      <c r="F106" s="524"/>
      <c r="G106" s="526"/>
      <c r="H106" s="533"/>
      <c r="I106" s="531">
        <f>J91-(J91-N91)*(G96+G97+G99+G101+G103+G105)/F122</f>
        <v>9.3000000000000007</v>
      </c>
      <c r="J106" s="520">
        <f>237.3/((7.5/LOG10(L106/611))-1)</f>
        <v>7.1525963981427259</v>
      </c>
      <c r="K106" s="519">
        <f>EXP(-6096.938/(I106+273.15)+21.2409642-2.711193*10^-2*(I106+273.15)+1.673952*10^-5*(I106+273.15)^2+2.433502*LN((I106+273.15)))</f>
        <v>1171.7052017269605</v>
      </c>
      <c r="L106" s="504">
        <f>J93-(J93-N93)*(H96+H97+H99+H101+H103+H105)/F127</f>
        <v>1012.7180581886462</v>
      </c>
      <c r="M106" s="495" t="str">
        <f>IF(L106/K106&lt;1,"○","×")</f>
        <v>○</v>
      </c>
      <c r="N106" s="494">
        <f>IF(L106/K106&gt;1,1,L106/K106)</f>
        <v>0.86431131029888297</v>
      </c>
      <c r="O106" s="496">
        <f>EXP(1.32774+7.80136*10^-2*I106-2.87894*10^-4*I106^2+1.36152*10^-6*I106^3+3.49024*10^-9*I106^4-4.87306*10^-3*ABS(I106))</f>
        <v>7.2729961141877615</v>
      </c>
      <c r="P106" s="497">
        <f t="shared" ref="P106" si="59">O106*N106</f>
        <v>6.2861328012523083</v>
      </c>
      <c r="Q106" s="497">
        <f t="shared" ref="Q106" si="60">1.005*I106+(O106/1000)*(2501.1+1.846*I106)</f>
        <v>27.661851923884161</v>
      </c>
      <c r="AB106" s="16">
        <v>12</v>
      </c>
      <c r="AC106" s="45">
        <f>F119</f>
        <v>0</v>
      </c>
      <c r="AD106" s="26">
        <f t="shared" si="52"/>
        <v>50</v>
      </c>
      <c r="AE106" s="26">
        <f>I120</f>
        <v>9.3000000000000007</v>
      </c>
      <c r="AF106" s="26">
        <f>J120</f>
        <v>7.1525963981427259</v>
      </c>
    </row>
    <row r="107" spans="1:32" ht="12" customHeight="1" x14ac:dyDescent="0.25">
      <c r="A107" s="545" t="s">
        <v>300</v>
      </c>
      <c r="B107" s="547"/>
      <c r="C107" s="548"/>
      <c r="D107" s="534" t="str">
        <f>IF(B107="","",VLOOKUP(B107,素材データ!$A$5:$AA$384,2,FALSE))</f>
        <v/>
      </c>
      <c r="E107" s="534" t="str">
        <f>IF(B107="","",VLOOKUP(B107,素材データ!$A$5:$AA$384,4,FALSE))</f>
        <v/>
      </c>
      <c r="F107" s="523"/>
      <c r="G107" s="525">
        <f>IF(D107="",0,IF(D107=0,VLOOKUP(B107,素材データ!$A$5:$AA$364,9,FALSE),IF(D107=0,0,F107/D107/1000)))</f>
        <v>0</v>
      </c>
      <c r="H107" s="532">
        <f>IF(E107="",0,IF(E107=0,VLOOKUP(B107,素材データ!$A$5:$AA$364,11,FALSE),E107*F107/1000))</f>
        <v>0</v>
      </c>
      <c r="I107" s="531"/>
      <c r="J107" s="520"/>
      <c r="K107" s="519"/>
      <c r="L107" s="504"/>
      <c r="M107" s="495"/>
      <c r="N107" s="494"/>
      <c r="O107" s="496"/>
      <c r="P107" s="496"/>
      <c r="Q107" s="496"/>
      <c r="R107" s="16"/>
      <c r="AB107" s="16" t="s">
        <v>63</v>
      </c>
      <c r="AC107" s="45">
        <f>IF(E121="通気層工法(9mm以上)",9,IF(E121="通気層工法(18mm以上)",18,0))</f>
        <v>18</v>
      </c>
      <c r="AD107" s="26">
        <f t="shared" si="52"/>
        <v>68</v>
      </c>
      <c r="AE107" s="26">
        <f>N91</f>
        <v>3.6</v>
      </c>
      <c r="AF107" s="26">
        <f>237.3/((7.5/LOG10(N93/611))-1)</f>
        <v>-1.3468270695015434</v>
      </c>
    </row>
    <row r="108" spans="1:32" ht="12" customHeight="1" x14ac:dyDescent="0.25">
      <c r="A108" s="546"/>
      <c r="B108" s="549"/>
      <c r="C108" s="550"/>
      <c r="D108" s="535"/>
      <c r="E108" s="535"/>
      <c r="F108" s="524"/>
      <c r="G108" s="526"/>
      <c r="H108" s="533"/>
      <c r="I108" s="531">
        <f>J91-(J91-N91)*(G96+G97+G99+G101+G103+G105+G107)/F122</f>
        <v>9.3000000000000007</v>
      </c>
      <c r="J108" s="520">
        <f>237.3/((7.5/LOG10(L108/611))-1)</f>
        <v>7.1525963981427259</v>
      </c>
      <c r="K108" s="519">
        <f>EXP(-6096.938/(I108+273.15)+21.2409642-2.711193*10^-2*(I108+273.15)+1.673952*10^-5*(I108+273.15)^2+2.433502*LN((I108+273.15)))</f>
        <v>1171.7052017269605</v>
      </c>
      <c r="L108" s="504">
        <f>J93-(J93-N93)*(H96+H97+H99+H101+H103+H105+H107)/F127</f>
        <v>1012.7180581886462</v>
      </c>
      <c r="M108" s="495" t="str">
        <f>IF(L108/K108&lt;1,"○","×")</f>
        <v>○</v>
      </c>
      <c r="N108" s="494">
        <f>IF(L108/K108&gt;1,1,L108/K108)</f>
        <v>0.86431131029888297</v>
      </c>
      <c r="O108" s="496">
        <f>EXP(1.32774+7.80136*10^-2*I108-2.87894*10^-4*I108^2+1.36152*10^-6*I108^3+3.49024*10^-9*I108^4-4.87306*10^-3*ABS(I108))</f>
        <v>7.2729961141877615</v>
      </c>
      <c r="P108" s="497">
        <f t="shared" ref="P108" si="61">O108*N108</f>
        <v>6.2861328012523083</v>
      </c>
      <c r="Q108" s="497">
        <f t="shared" ref="Q108" si="62">1.005*I108+(O108/1000)*(2501.1+1.846*I108)</f>
        <v>27.661851923884161</v>
      </c>
      <c r="R108" s="16"/>
      <c r="S108" s="56"/>
      <c r="U108" s="13"/>
      <c r="W108" s="56"/>
      <c r="Y108" s="13"/>
      <c r="AC108" s="13">
        <v>50</v>
      </c>
      <c r="AD108" s="26">
        <f t="shared" si="52"/>
        <v>118</v>
      </c>
      <c r="AE108" s="26">
        <f>N91</f>
        <v>3.6</v>
      </c>
      <c r="AF108" s="26">
        <f>237.3/((7.5/LOG10(N93/611))-1)</f>
        <v>-1.3468270695015434</v>
      </c>
    </row>
    <row r="109" spans="1:32" ht="12" customHeight="1" x14ac:dyDescent="0.25">
      <c r="A109" s="545" t="s">
        <v>301</v>
      </c>
      <c r="B109" s="547"/>
      <c r="C109" s="548"/>
      <c r="D109" s="534" t="str">
        <f>IF(B109="","",VLOOKUP(B109,素材データ!$A$5:$AA$384,2,FALSE))</f>
        <v/>
      </c>
      <c r="E109" s="534" t="str">
        <f>IF(B109="","",VLOOKUP(B109,素材データ!$A$5:$AA$384,4,FALSE))</f>
        <v/>
      </c>
      <c r="F109" s="523"/>
      <c r="G109" s="525">
        <f>IF(D109="",0,IF(D109=0,VLOOKUP(B109,素材データ!$A$5:$AA$364,9,FALSE),IF(D109=0,0,F109/D109/1000)))</f>
        <v>0</v>
      </c>
      <c r="H109" s="532">
        <f>IF(E109="",0,IF(E109=0,VLOOKUP(B109,素材データ!$A$5:$AA$364,11,FALSE),E109*F109/1000))</f>
        <v>0</v>
      </c>
      <c r="I109" s="531"/>
      <c r="J109" s="520"/>
      <c r="K109" s="519"/>
      <c r="L109" s="504"/>
      <c r="M109" s="495"/>
      <c r="N109" s="494"/>
      <c r="O109" s="496"/>
      <c r="P109" s="496"/>
      <c r="Q109" s="496"/>
      <c r="R109" s="30"/>
      <c r="T109" s="16"/>
      <c r="X109" s="16"/>
    </row>
    <row r="110" spans="1:32" ht="12" customHeight="1" x14ac:dyDescent="0.25">
      <c r="A110" s="546"/>
      <c r="B110" s="549"/>
      <c r="C110" s="550"/>
      <c r="D110" s="535"/>
      <c r="E110" s="535"/>
      <c r="F110" s="524"/>
      <c r="G110" s="526"/>
      <c r="H110" s="533"/>
      <c r="I110" s="531">
        <f>J91-(J91-N91)*(G96+G97+G99+G101+G103+G105+G107+G109)/F122</f>
        <v>9.3000000000000007</v>
      </c>
      <c r="J110" s="520">
        <f>237.3/((7.5/LOG10(L110/611))-1)</f>
        <v>7.1525963981427259</v>
      </c>
      <c r="K110" s="519">
        <f>EXP(-6096.938/(I110+273.15)+21.2409642-2.711193*10^-2*(I110+273.15)+1.673952*10^-5*(I110+273.15)^2+2.433502*LN((I110+273.15)))</f>
        <v>1171.7052017269605</v>
      </c>
      <c r="L110" s="504">
        <f>J93-(J93-N93)*(H96+H97+H99+H101+H103+H105+H107+H109)/F127</f>
        <v>1012.7180581886462</v>
      </c>
      <c r="M110" s="495" t="str">
        <f>IF(L110/K110&lt;1,"○","×")</f>
        <v>○</v>
      </c>
      <c r="N110" s="494">
        <f>IF(L110/K110&gt;1,1,L110/K110)</f>
        <v>0.86431131029888297</v>
      </c>
      <c r="O110" s="496">
        <f>EXP(1.32774+7.80136*10^-2*I110-2.87894*10^-4*I110^2+1.36152*10^-6*I110^3+3.49024*10^-9*I110^4-4.87306*10^-3*ABS(I110))</f>
        <v>7.2729961141877615</v>
      </c>
      <c r="P110" s="497">
        <f t="shared" ref="P110" si="63">O110*N110</f>
        <v>6.2861328012523083</v>
      </c>
      <c r="Q110" s="497">
        <f t="shared" ref="Q110" si="64">1.005*I110+(O110/1000)*(2501.1+1.846*I110)</f>
        <v>27.661851923884161</v>
      </c>
      <c r="R110" s="30"/>
      <c r="S110" s="56"/>
      <c r="T110" s="73"/>
      <c r="W110" s="56"/>
      <c r="X110" s="73"/>
    </row>
    <row r="111" spans="1:32" ht="12" customHeight="1" x14ac:dyDescent="0.25">
      <c r="A111" s="545" t="s">
        <v>230</v>
      </c>
      <c r="B111" s="547"/>
      <c r="C111" s="548"/>
      <c r="D111" s="534" t="str">
        <f>IF(B111="","",VLOOKUP(B111,素材データ!$A$5:$AA$384,2,FALSE))</f>
        <v/>
      </c>
      <c r="E111" s="534" t="str">
        <f>IF(B111="","",VLOOKUP(B111,素材データ!$A$5:$AA$384,4,FALSE))</f>
        <v/>
      </c>
      <c r="F111" s="523"/>
      <c r="G111" s="525">
        <f>IF(D111="",0,IF(D111=0,VLOOKUP(B111,素材データ!$A$5:$AA$364,9,FALSE),IF(D111=0,0,F111/D111/1000)))</f>
        <v>0</v>
      </c>
      <c r="H111" s="532">
        <f>IF(E111="",0,IF(E111=0,VLOOKUP(B111,素材データ!$A$5:$AA$364,11,FALSE),E111*F111/1000))</f>
        <v>0</v>
      </c>
      <c r="I111" s="531"/>
      <c r="J111" s="520"/>
      <c r="K111" s="519"/>
      <c r="L111" s="504"/>
      <c r="M111" s="495"/>
      <c r="N111" s="494"/>
      <c r="O111" s="496"/>
      <c r="P111" s="496"/>
      <c r="Q111" s="496"/>
      <c r="R111" s="16"/>
      <c r="S111" s="56"/>
      <c r="T111" s="73"/>
      <c r="V111" s="74"/>
      <c r="W111" s="56"/>
      <c r="X111" s="73"/>
      <c r="Z111" s="74"/>
    </row>
    <row r="112" spans="1:32" ht="12" customHeight="1" x14ac:dyDescent="0.25">
      <c r="A112" s="546"/>
      <c r="B112" s="549"/>
      <c r="C112" s="550"/>
      <c r="D112" s="535"/>
      <c r="E112" s="535"/>
      <c r="F112" s="524"/>
      <c r="G112" s="526"/>
      <c r="H112" s="533"/>
      <c r="I112" s="531">
        <f>J91-(J91-N91)*(G96+G97+G99+G101+G103+G105+G107+G109+G111)/F122</f>
        <v>9.3000000000000007</v>
      </c>
      <c r="J112" s="520">
        <f>237.3/((7.5/LOG10(L112/611))-1)</f>
        <v>7.1525963981427259</v>
      </c>
      <c r="K112" s="519">
        <f>EXP(-6096.938/(I112+273.15)+21.2409642-2.711193*10^-2*(I112+273.15)+1.673952*10^-5*(I112+273.15)^2+2.433502*LN((I112+273.15)))</f>
        <v>1171.7052017269605</v>
      </c>
      <c r="L112" s="504">
        <f>J93-(J93-N93)*(H96+H97+H99+H101+H103+H105+H107+H109+H111)/F127</f>
        <v>1012.7180581886462</v>
      </c>
      <c r="M112" s="495" t="str">
        <f>IF(L112/K112&lt;1,"○","×")</f>
        <v>○</v>
      </c>
      <c r="N112" s="494">
        <f>IF(L112/K112&gt;1,1,L112/K112)</f>
        <v>0.86431131029888297</v>
      </c>
      <c r="O112" s="496">
        <f>EXP(1.32774+7.80136*10^-2*I112-2.87894*10^-4*I112^2+1.36152*10^-6*I112^3+3.49024*10^-9*I112^4-4.87306*10^-3*ABS(I112))</f>
        <v>7.2729961141877615</v>
      </c>
      <c r="P112" s="497">
        <f t="shared" ref="P112" si="65">O112*N112</f>
        <v>6.2861328012523083</v>
      </c>
      <c r="Q112" s="497">
        <f t="shared" ref="Q112" si="66">1.005*I112+(O112/1000)*(2501.1+1.846*I112)</f>
        <v>27.661851923884161</v>
      </c>
      <c r="R112" s="16"/>
      <c r="S112" s="82"/>
      <c r="T112" s="82"/>
      <c r="U112" s="13"/>
      <c r="V112" s="13"/>
      <c r="W112" s="82"/>
      <c r="X112" s="82"/>
      <c r="Y112" s="13"/>
      <c r="Z112" s="13"/>
    </row>
    <row r="113" spans="1:25" ht="12" customHeight="1" x14ac:dyDescent="0.25">
      <c r="A113" s="545" t="s">
        <v>231</v>
      </c>
      <c r="B113" s="547"/>
      <c r="C113" s="548"/>
      <c r="D113" s="534" t="str">
        <f>IF(B113="","",VLOOKUP(B113,素材データ!$A$5:$AA$384,2,FALSE))</f>
        <v/>
      </c>
      <c r="E113" s="534" t="str">
        <f>IF(B113="","",VLOOKUP(B113,素材データ!$A$5:$AA$384,4,FALSE))</f>
        <v/>
      </c>
      <c r="F113" s="523"/>
      <c r="G113" s="525">
        <f>IF(D113="",0,IF(D113=0,VLOOKUP(B113,素材データ!$A$5:$AA$364,9,FALSE),IF(D113=0,0,F113/D113/1000)))</f>
        <v>0</v>
      </c>
      <c r="H113" s="532">
        <f>IF(E113="",0,IF(E113=0,VLOOKUP(B113,素材データ!$A$5:$AA$364,11,FALSE),E113*F113/1000))</f>
        <v>0</v>
      </c>
      <c r="I113" s="531"/>
      <c r="J113" s="520"/>
      <c r="K113" s="519"/>
      <c r="L113" s="504"/>
      <c r="M113" s="495"/>
      <c r="N113" s="494"/>
      <c r="O113" s="496"/>
      <c r="P113" s="496"/>
      <c r="Q113" s="496"/>
    </row>
    <row r="114" spans="1:25" ht="12" customHeight="1" x14ac:dyDescent="0.25">
      <c r="A114" s="546"/>
      <c r="B114" s="549"/>
      <c r="C114" s="550"/>
      <c r="D114" s="535"/>
      <c r="E114" s="535"/>
      <c r="F114" s="524"/>
      <c r="G114" s="526"/>
      <c r="H114" s="533"/>
      <c r="I114" s="531">
        <f>J91-(J91-N91)*(G96+G97+G99+G101+G103+G105+G107+G109+G111+G113)/F122</f>
        <v>9.3000000000000007</v>
      </c>
      <c r="J114" s="520">
        <f>237.3/((7.5/LOG10(L114/611))-1)</f>
        <v>7.1525963981427259</v>
      </c>
      <c r="K114" s="519">
        <f>EXP(-6096.938/(I114+273.15)+21.2409642-2.711193*10^-2*(I114+273.15)+1.673952*10^-5*(I114+273.15)^2+2.433502*LN((I114+273.15)))</f>
        <v>1171.7052017269605</v>
      </c>
      <c r="L114" s="504">
        <f>J93-(J93-N93)*(H96+H97+H99+H101+H103+H105+H107+H109+H111+H113)/F127</f>
        <v>1012.7180581886462</v>
      </c>
      <c r="M114" s="495" t="str">
        <f>IF(L114/K114&lt;1,"○","×")</f>
        <v>○</v>
      </c>
      <c r="N114" s="494">
        <f>IF(L114/K114&gt;1,1,L114/K114)</f>
        <v>0.86431131029888297</v>
      </c>
      <c r="O114" s="496">
        <f>EXP(1.32774+7.80136*10^-2*I114-2.87894*10^-4*I114^2+1.36152*10^-6*I114^3+3.49024*10^-9*I114^4-4.87306*10^-3*ABS(I114))</f>
        <v>7.2729961141877615</v>
      </c>
      <c r="P114" s="497">
        <f t="shared" ref="P114" si="67">O114*N114</f>
        <v>6.2861328012523083</v>
      </c>
      <c r="Q114" s="497">
        <f t="shared" ref="Q114" si="68">1.005*I114+(O114/1000)*(2501.1+1.846*I114)</f>
        <v>27.661851923884161</v>
      </c>
    </row>
    <row r="115" spans="1:25" ht="12" customHeight="1" x14ac:dyDescent="0.25">
      <c r="A115" s="545" t="s">
        <v>585</v>
      </c>
      <c r="B115" s="547"/>
      <c r="C115" s="548"/>
      <c r="D115" s="534" t="str">
        <f>IF(B115="","",VLOOKUP(B115,素材データ!$A$5:$AA$384,2,FALSE))</f>
        <v/>
      </c>
      <c r="E115" s="534" t="str">
        <f>IF(B115="","",VLOOKUP(B115,素材データ!$A$5:$AA$384,4,FALSE))</f>
        <v/>
      </c>
      <c r="F115" s="523"/>
      <c r="G115" s="525">
        <f>IF(D115="",0,IF(D115=0,VLOOKUP(B115,素材データ!$A$5:$AA$364,9,FALSE),IF(D115=0,0,F115/D115/1000)))</f>
        <v>0</v>
      </c>
      <c r="H115" s="532">
        <f>IF(E115="",0,IF(E115=0,VLOOKUP(B115,素材データ!$A$5:$AA$364,11,FALSE),E115*F115/1000))</f>
        <v>0</v>
      </c>
      <c r="I115" s="531"/>
      <c r="J115" s="520"/>
      <c r="K115" s="519"/>
      <c r="L115" s="504"/>
      <c r="M115" s="495"/>
      <c r="N115" s="494"/>
      <c r="O115" s="496"/>
      <c r="P115" s="496"/>
      <c r="Q115" s="496"/>
    </row>
    <row r="116" spans="1:25" ht="12" customHeight="1" x14ac:dyDescent="0.25">
      <c r="A116" s="546"/>
      <c r="B116" s="549"/>
      <c r="C116" s="550"/>
      <c r="D116" s="535"/>
      <c r="E116" s="535"/>
      <c r="F116" s="524"/>
      <c r="G116" s="526"/>
      <c r="H116" s="533"/>
      <c r="I116" s="531">
        <f>J91-(J91-N91)*(G96+G97+G99+G101+G103+G105+G107+G109+G111+G113+G115)/F122</f>
        <v>9.3000000000000007</v>
      </c>
      <c r="J116" s="520">
        <f>237.3/((7.5/LOG10(L116/611))-1)</f>
        <v>7.1525963981427259</v>
      </c>
      <c r="K116" s="519">
        <f>EXP(-6096.938/(I116+273.15)+21.2409642-2.711193*10^-2*(I116+273.15)+1.673952*10^-5*(I116+273.15)^2+2.433502*LN((I116+273.15)))</f>
        <v>1171.7052017269605</v>
      </c>
      <c r="L116" s="504">
        <f>J93-(J93-N93)*(H96+H97+H99+H101+H103+H105+H107+H109+H111+H113+H115)/F127</f>
        <v>1012.7180581886462</v>
      </c>
      <c r="M116" s="495" t="str">
        <f>IF(L116/K116&lt;1,"○","×")</f>
        <v>○</v>
      </c>
      <c r="N116" s="494">
        <f>IF(L116/K116&gt;1,1,L116/K116)</f>
        <v>0.86431131029888297</v>
      </c>
      <c r="O116" s="496">
        <f>EXP(1.32774+7.80136*10^-2*I116-2.87894*10^-4*I116^2+1.36152*10^-6*I116^3+3.49024*10^-9*I116^4-4.87306*10^-3*ABS(I116))</f>
        <v>7.2729961141877615</v>
      </c>
      <c r="P116" s="497">
        <f t="shared" ref="P116" si="69">O116*N116</f>
        <v>6.2861328012523083</v>
      </c>
      <c r="Q116" s="497">
        <f t="shared" ref="Q116" si="70">1.005*I116+(O116/1000)*(2501.1+1.846*I116)</f>
        <v>27.661851923884161</v>
      </c>
    </row>
    <row r="117" spans="1:25" ht="12" customHeight="1" x14ac:dyDescent="0.25">
      <c r="A117" s="545" t="s">
        <v>586</v>
      </c>
      <c r="B117" s="547"/>
      <c r="C117" s="548"/>
      <c r="D117" s="534" t="str">
        <f>IF(B117="","",VLOOKUP(B117,素材データ!$A$5:$AA$384,2,FALSE))</f>
        <v/>
      </c>
      <c r="E117" s="534" t="str">
        <f>IF(B117="","",VLOOKUP(B117,素材データ!$A$5:$AA$384,4,FALSE))</f>
        <v/>
      </c>
      <c r="F117" s="523"/>
      <c r="G117" s="525">
        <f>IF(D117="",0,IF(D117=0,VLOOKUP(B117,素材データ!$A$5:$AA$364,9,FALSE),IF(D117=0,0,F117/D117/1000)))</f>
        <v>0</v>
      </c>
      <c r="H117" s="532">
        <f>IF(E117="",0,IF(E117=0,VLOOKUP(B117,素材データ!$A$5:$AA$364,11,FALSE),E117*F117/1000))</f>
        <v>0</v>
      </c>
      <c r="I117" s="531"/>
      <c r="J117" s="520"/>
      <c r="K117" s="519"/>
      <c r="L117" s="504"/>
      <c r="M117" s="495"/>
      <c r="N117" s="494"/>
      <c r="O117" s="496"/>
      <c r="P117" s="496"/>
      <c r="Q117" s="496"/>
    </row>
    <row r="118" spans="1:25" ht="12" customHeight="1" x14ac:dyDescent="0.25">
      <c r="A118" s="546"/>
      <c r="B118" s="549"/>
      <c r="C118" s="550"/>
      <c r="D118" s="535"/>
      <c r="E118" s="535"/>
      <c r="F118" s="524"/>
      <c r="G118" s="526"/>
      <c r="H118" s="533"/>
      <c r="I118" s="531">
        <f>J91-(J91-N91)*(G96+G97+G99+G101+G103+G105+G107+G109+G111+G113+G115+G117)/F122</f>
        <v>9.3000000000000007</v>
      </c>
      <c r="J118" s="520">
        <f>237.3/((7.5/LOG10(L118/611))-1)</f>
        <v>7.1525963981427259</v>
      </c>
      <c r="K118" s="519">
        <f>EXP(-6096.938/(I118+273.15)+21.2409642-2.711193*10^-2*(I118+273.15)+1.673952*10^-5*(I118+273.15)^2+2.433502*LN((I118+273.15)))</f>
        <v>1171.7052017269605</v>
      </c>
      <c r="L118" s="504">
        <f>J93-(J93-N93)*(H96+H97+H99+H101+H103+H105+H107+H109+H111+H113+H115+H117)/F127</f>
        <v>1012.7180581886462</v>
      </c>
      <c r="M118" s="495" t="str">
        <f>IF(L118/K118&lt;1,"○","×")</f>
        <v>○</v>
      </c>
      <c r="N118" s="494">
        <f>IF(L118/K118&gt;1,1,L118/K118)</f>
        <v>0.86431131029888297</v>
      </c>
      <c r="O118" s="496">
        <f>EXP(1.32774+7.80136*10^-2*I118-2.87894*10^-4*I118^2+1.36152*10^-6*I118^3+3.49024*10^-9*I118^4-4.87306*10^-3*ABS(I118))</f>
        <v>7.2729961141877615</v>
      </c>
      <c r="P118" s="497">
        <f t="shared" ref="P118" si="71">O118*N118</f>
        <v>6.2861328012523083</v>
      </c>
      <c r="Q118" s="497">
        <f t="shared" ref="Q118" si="72">1.005*I118+(O118/1000)*(2501.1+1.846*I118)</f>
        <v>27.661851923884161</v>
      </c>
    </row>
    <row r="119" spans="1:25" ht="12" customHeight="1" x14ac:dyDescent="0.25">
      <c r="A119" s="545" t="s">
        <v>587</v>
      </c>
      <c r="B119" s="547"/>
      <c r="C119" s="548"/>
      <c r="D119" s="534" t="str">
        <f>IF(B119="","",VLOOKUP(B119,素材データ!$A$5:$AA$384,2,FALSE))</f>
        <v/>
      </c>
      <c r="E119" s="534" t="str">
        <f>IF(B119="","",VLOOKUP(B119,素材データ!$A$5:$AA$384,4,FALSE))</f>
        <v/>
      </c>
      <c r="F119" s="523"/>
      <c r="G119" s="525">
        <f>IF(D119="",0,IF(D119=0,VLOOKUP(B119,素材データ!$A$5:$AA$364,9,FALSE),IF(D119=0,0,F119/D119/1000)))</f>
        <v>0</v>
      </c>
      <c r="H119" s="532">
        <f>IF(E119="",0,IF(E119=0,VLOOKUP(B119,素材データ!$A$5:$AA$364,11,FALSE),E119*F119/1000))</f>
        <v>0</v>
      </c>
      <c r="I119" s="531"/>
      <c r="J119" s="520"/>
      <c r="K119" s="519"/>
      <c r="L119" s="504"/>
      <c r="M119" s="495"/>
      <c r="N119" s="494"/>
      <c r="O119" s="496"/>
      <c r="P119" s="496"/>
      <c r="Q119" s="496"/>
    </row>
    <row r="120" spans="1:25" ht="12" customHeight="1" x14ac:dyDescent="0.25">
      <c r="A120" s="546"/>
      <c r="B120" s="549"/>
      <c r="C120" s="550"/>
      <c r="D120" s="535"/>
      <c r="E120" s="535"/>
      <c r="F120" s="524"/>
      <c r="G120" s="526"/>
      <c r="H120" s="533"/>
      <c r="I120" s="531">
        <f>J91-(J91-N91)*(G96+G97+G99+G101+G103+G105+G107+G109+G111+G113+G115+G117+G119)/F122</f>
        <v>9.3000000000000007</v>
      </c>
      <c r="J120" s="520">
        <f>237.3/((7.5/LOG10(L120/611))-1)</f>
        <v>7.1525963981427259</v>
      </c>
      <c r="K120" s="519">
        <f>EXP(-6096.938/(I120+273.15)+21.2409642-2.711193*10^-2*(I120+273.15)+1.673952*10^-5*(I120+273.15)^2+2.433502*LN((I120+273.15)))</f>
        <v>1171.7052017269605</v>
      </c>
      <c r="L120" s="504">
        <f>J93-(J93-N93)*(H96+H97+H99+H101+H103+H105+H107+H109+H111+H113+H115+H117+H119)/F127</f>
        <v>1012.7180581886462</v>
      </c>
      <c r="M120" s="495" t="str">
        <f>IF(L120/K120&lt;1,"○","×")</f>
        <v>○</v>
      </c>
      <c r="N120" s="494">
        <f>IF(L120/K120&gt;1,1,L120/K120)</f>
        <v>0.86431131029888297</v>
      </c>
      <c r="O120" s="496">
        <f>EXP(1.32774+7.80136*10^-2*I120-2.87894*10^-4*I120^2+1.36152*10^-6*I120^3+3.49024*10^-9*I120^4-4.87306*10^-3*ABS(I120))</f>
        <v>7.2729961141877615</v>
      </c>
      <c r="P120" s="497">
        <f t="shared" ref="P120" si="73">O120*N120</f>
        <v>6.2861328012523083</v>
      </c>
      <c r="Q120" s="497">
        <f t="shared" ref="Q120" si="74">1.005*I120+(O120/1000)*(2501.1+1.846*I120)</f>
        <v>27.661851923884161</v>
      </c>
    </row>
    <row r="121" spans="1:25" ht="12" customHeight="1" x14ac:dyDescent="0.25">
      <c r="A121" s="454" t="s">
        <v>187</v>
      </c>
      <c r="B121" s="579" t="s">
        <v>5</v>
      </c>
      <c r="C121" s="580"/>
      <c r="D121" s="485" t="str">
        <f>F92</f>
        <v>外壁</v>
      </c>
      <c r="E121" s="570" t="s">
        <v>298</v>
      </c>
      <c r="F121" s="571"/>
      <c r="G121" s="486">
        <f>IF(AND(F92="外壁",E121="通気層工法(18mm以上)"),0.11,IF(AND(F92="外壁",E121="通気層工法(9mm以上)"),0.11,IF(AND(F92="外壁",E121="通気層なし"),0.04,IF(AND(F92="屋根",E121="通気層工法(18mm以上)"),0.09,IF(AND(F92="屋根",E121="通気層工法(9mm以上)"),0.09,IF(AND(F92="屋根",E121="通気層なし"),0.04,IF(F92="天井",0.09,IF(F92="床",0.15,0.11))))))))</f>
        <v>0.11</v>
      </c>
      <c r="H121" s="487">
        <f>IF(AND(F92="外壁",E121="通気層工法(18mm以上)"),1.8,IF(AND(F92="外壁",E121="通気層工法(9mm以上)"),3.6,IF(AND(F92="外壁",E121="通気層なし"),0.014,IF(AND(F92="屋根",E121="通気層工法(18mm以上)"),3.6,IF(AND(F92="屋根",E121="通気層工法(9mm以上)"),5.4,IF(AND(F92="屋根",E121="通気層なし"),0.014,IF(F92="天井",0.042,IF(F92="床",0.042,0.014))))))))*3600*10^-9/760*1.013*10^5</f>
        <v>8.6371578947368427E-4</v>
      </c>
      <c r="I121" s="581"/>
      <c r="J121" s="521"/>
      <c r="K121" s="522"/>
      <c r="L121" s="509"/>
      <c r="M121" s="508"/>
      <c r="N121" s="511"/>
      <c r="O121" s="510"/>
      <c r="P121" s="510"/>
      <c r="Q121" s="510"/>
    </row>
    <row r="122" spans="1:25" ht="15" customHeight="1" x14ac:dyDescent="0.25">
      <c r="A122" s="572" t="s">
        <v>7</v>
      </c>
      <c r="B122" s="569"/>
      <c r="C122" s="569"/>
      <c r="D122" s="459"/>
      <c r="E122" s="460"/>
      <c r="F122" s="575">
        <f>SUM(G96:G121)</f>
        <v>0.22</v>
      </c>
      <c r="G122" s="576"/>
      <c r="H122" s="63"/>
      <c r="M122" s="62"/>
      <c r="N122" s="62"/>
      <c r="O122" s="64"/>
      <c r="P122" s="62"/>
      <c r="Q122" s="62"/>
    </row>
    <row r="123" spans="1:25" ht="15" customHeight="1" x14ac:dyDescent="0.25">
      <c r="A123" s="573"/>
      <c r="B123" s="574"/>
      <c r="C123" s="574"/>
      <c r="D123" s="463"/>
      <c r="E123" s="464" t="s">
        <v>717</v>
      </c>
      <c r="F123" s="577"/>
      <c r="G123" s="578"/>
      <c r="H123" s="63"/>
      <c r="M123" s="62"/>
      <c r="N123" s="62"/>
      <c r="O123" s="64"/>
      <c r="P123" s="62"/>
      <c r="Q123" s="62"/>
      <c r="R123" s="46"/>
    </row>
    <row r="124" spans="1:25" ht="15" customHeight="1" x14ac:dyDescent="0.25">
      <c r="A124" s="568" t="s">
        <v>10</v>
      </c>
      <c r="B124" s="569"/>
      <c r="C124" s="569"/>
      <c r="D124" s="459"/>
      <c r="E124" s="474"/>
      <c r="F124" s="562">
        <f>1/F122</f>
        <v>4.5454545454545459</v>
      </c>
      <c r="G124" s="563"/>
      <c r="H124" s="65"/>
      <c r="I124" s="483"/>
      <c r="J124" s="483"/>
      <c r="K124" s="484"/>
      <c r="L124" s="484"/>
      <c r="M124" s="62"/>
      <c r="N124" s="62"/>
      <c r="O124" s="66"/>
      <c r="P124" s="12" t="s">
        <v>571</v>
      </c>
      <c r="Q124" s="67">
        <f>IF(F92="外壁",5,6)</f>
        <v>5</v>
      </c>
    </row>
    <row r="125" spans="1:25" ht="15" customHeight="1" x14ac:dyDescent="0.25">
      <c r="A125" s="568"/>
      <c r="B125" s="569"/>
      <c r="C125" s="569"/>
      <c r="D125" s="459"/>
      <c r="E125" s="461" t="s">
        <v>716</v>
      </c>
      <c r="F125" s="562"/>
      <c r="G125" s="563"/>
      <c r="H125" s="65"/>
      <c r="I125" s="483"/>
      <c r="J125" s="483"/>
      <c r="K125" s="484"/>
      <c r="L125" s="484"/>
      <c r="M125" s="62"/>
      <c r="N125" s="62"/>
      <c r="O125" s="66"/>
      <c r="P125" s="12" t="s">
        <v>572</v>
      </c>
      <c r="Q125" s="68">
        <f>IF(F92="外壁",5,6)</f>
        <v>5</v>
      </c>
      <c r="S125" s="16"/>
      <c r="T125" s="31"/>
      <c r="U125" s="31"/>
      <c r="W125" s="16"/>
      <c r="X125" s="31"/>
      <c r="Y125" s="31"/>
    </row>
    <row r="126" spans="1:25" ht="15" customHeight="1" x14ac:dyDescent="0.25">
      <c r="A126" s="492" t="s">
        <v>303</v>
      </c>
      <c r="B126" s="490">
        <f>IF(J91&gt;N91,J91-N91,N91-J91)</f>
        <v>11.4</v>
      </c>
      <c r="C126" s="465" t="s">
        <v>707</v>
      </c>
      <c r="D126" s="489">
        <f>F124*B126*3600/1000</f>
        <v>186.54545454545459</v>
      </c>
      <c r="E126" s="466" t="s">
        <v>713</v>
      </c>
      <c r="F126" s="489">
        <f>D126*24</f>
        <v>4477.0909090909099</v>
      </c>
      <c r="G126" s="467" t="s">
        <v>714</v>
      </c>
      <c r="H126" s="65"/>
      <c r="I126" s="483"/>
      <c r="J126" s="483"/>
      <c r="K126" s="484"/>
      <c r="L126" s="484"/>
      <c r="M126" s="62"/>
      <c r="N126" s="62"/>
      <c r="O126" s="66"/>
      <c r="P126" s="12" t="s">
        <v>573</v>
      </c>
      <c r="Q126" s="68">
        <f>IF(F92="外壁",5,6)</f>
        <v>5</v>
      </c>
      <c r="S126" s="16"/>
      <c r="T126" s="31"/>
      <c r="U126" s="31"/>
      <c r="W126" s="16"/>
      <c r="X126" s="31"/>
      <c r="Y126" s="31"/>
    </row>
    <row r="127" spans="1:25" ht="15" customHeight="1" x14ac:dyDescent="0.25">
      <c r="A127" s="572" t="s">
        <v>709</v>
      </c>
      <c r="B127" s="583"/>
      <c r="C127" s="583"/>
      <c r="D127" s="471"/>
      <c r="E127" s="472"/>
      <c r="F127" s="584">
        <f>SUM(H96:H121)</f>
        <v>8.8386915789473691E-4</v>
      </c>
      <c r="G127" s="585"/>
      <c r="H127" s="65"/>
      <c r="I127" s="483"/>
      <c r="J127" s="483"/>
      <c r="K127" s="484"/>
      <c r="L127" s="484"/>
      <c r="M127" s="62"/>
      <c r="N127" s="62"/>
      <c r="O127" s="66"/>
      <c r="P127" s="12" t="s">
        <v>574</v>
      </c>
      <c r="Q127" s="68">
        <f>IF(F92="外壁",3,4)</f>
        <v>3</v>
      </c>
      <c r="S127" s="16"/>
      <c r="T127" s="31"/>
      <c r="U127" s="31"/>
      <c r="W127" s="16"/>
      <c r="X127" s="31"/>
      <c r="Y127" s="31"/>
    </row>
    <row r="128" spans="1:25" ht="15" customHeight="1" x14ac:dyDescent="0.25">
      <c r="A128" s="573"/>
      <c r="B128" s="574"/>
      <c r="C128" s="574"/>
      <c r="D128" s="463"/>
      <c r="E128" s="464"/>
      <c r="F128" s="586"/>
      <c r="G128" s="587"/>
      <c r="H128" s="65"/>
      <c r="I128" s="483"/>
      <c r="J128" s="483"/>
      <c r="K128" s="484"/>
      <c r="L128" s="484"/>
      <c r="M128" s="62"/>
      <c r="N128" s="62"/>
      <c r="O128" s="66"/>
      <c r="P128" s="12" t="s">
        <v>575</v>
      </c>
      <c r="Q128" s="68">
        <f>IF(F92="外壁",2,3)</f>
        <v>2</v>
      </c>
      <c r="S128" s="16"/>
      <c r="T128" s="31"/>
      <c r="U128" s="31"/>
      <c r="W128" s="16"/>
      <c r="X128" s="31"/>
      <c r="Y128" s="31"/>
    </row>
    <row r="129" spans="1:32" ht="15" customHeight="1" x14ac:dyDescent="0.25">
      <c r="A129" s="568" t="s">
        <v>710</v>
      </c>
      <c r="B129" s="569"/>
      <c r="C129" s="569"/>
      <c r="D129" s="459"/>
      <c r="E129" s="460"/>
      <c r="F129" s="589">
        <f>1/F127</f>
        <v>1131.3891779885971</v>
      </c>
      <c r="G129" s="590"/>
      <c r="H129" s="65"/>
      <c r="I129" s="483"/>
      <c r="J129" s="483"/>
      <c r="K129" s="484"/>
      <c r="L129" s="484"/>
      <c r="M129" s="62"/>
      <c r="N129" s="62"/>
      <c r="O129" s="66"/>
      <c r="P129" s="12" t="s">
        <v>576</v>
      </c>
      <c r="Q129" s="68">
        <f>IF(F92="外壁",2,3)</f>
        <v>2</v>
      </c>
    </row>
    <row r="130" spans="1:32" ht="15" customHeight="1" x14ac:dyDescent="0.25">
      <c r="A130" s="568"/>
      <c r="B130" s="569"/>
      <c r="C130" s="569"/>
      <c r="D130" s="462"/>
      <c r="E130" s="461"/>
      <c r="F130" s="589"/>
      <c r="G130" s="590"/>
      <c r="H130" s="65"/>
      <c r="I130" s="483"/>
      <c r="J130" s="483"/>
      <c r="K130" s="484"/>
      <c r="L130" s="484"/>
      <c r="M130" s="62"/>
      <c r="N130" s="62"/>
      <c r="O130" s="66"/>
      <c r="P130" s="12" t="s">
        <v>577</v>
      </c>
      <c r="Q130" s="68">
        <f>IF(F92="外壁",2,3)</f>
        <v>2</v>
      </c>
      <c r="Z130" s="13"/>
    </row>
    <row r="131" spans="1:32" ht="15" customHeight="1" x14ac:dyDescent="0.25">
      <c r="A131" s="96" t="s">
        <v>711</v>
      </c>
      <c r="B131" s="491">
        <f>IF(J93&gt;N93,J93-N93,N93-J93)</f>
        <v>469.78525078023483</v>
      </c>
      <c r="C131" s="473" t="s">
        <v>708</v>
      </c>
      <c r="D131" s="488">
        <f>F129*B131*3600*10^-9</f>
        <v>1.9134358153611006</v>
      </c>
      <c r="E131" s="98" t="s">
        <v>712</v>
      </c>
      <c r="F131" s="488">
        <f>D131*24</f>
        <v>45.922459568666412</v>
      </c>
      <c r="G131" s="99" t="s">
        <v>715</v>
      </c>
      <c r="H131" s="65"/>
      <c r="I131" s="483"/>
      <c r="J131" s="483"/>
      <c r="K131" s="484"/>
      <c r="L131" s="484"/>
      <c r="M131" s="62"/>
      <c r="N131" s="62"/>
      <c r="O131" s="66"/>
      <c r="P131" s="12" t="s">
        <v>578</v>
      </c>
      <c r="Q131" s="72" t="s">
        <v>9</v>
      </c>
      <c r="Z131" s="13"/>
    </row>
    <row r="132" spans="1:32" ht="15" customHeight="1" x14ac:dyDescent="0.25">
      <c r="A132" s="591" t="s">
        <v>102</v>
      </c>
      <c r="B132" s="592"/>
      <c r="C132" s="468" t="s">
        <v>103</v>
      </c>
      <c r="D132" s="469">
        <f>$T$22</f>
        <v>15</v>
      </c>
      <c r="E132" s="470" t="s">
        <v>104</v>
      </c>
      <c r="F132" s="469">
        <f>$D$264-($J91-$D133)*G96/$F122</f>
        <v>6</v>
      </c>
      <c r="G132" s="595" t="str">
        <f>IF(F133&lt;F132,"○","×")</f>
        <v>×</v>
      </c>
      <c r="H132" s="63"/>
      <c r="M132" s="75"/>
      <c r="N132" s="75"/>
      <c r="O132" s="76"/>
      <c r="P132" s="75"/>
      <c r="Q132" s="75"/>
      <c r="Z132" s="13"/>
    </row>
    <row r="133" spans="1:32" ht="15" customHeight="1" x14ac:dyDescent="0.25">
      <c r="A133" s="593"/>
      <c r="B133" s="594"/>
      <c r="C133" s="455" t="s">
        <v>55</v>
      </c>
      <c r="D133" s="456">
        <f>VLOOKUP(E92,$S$23:$U$30,2,FALSE)</f>
        <v>-3</v>
      </c>
      <c r="E133" s="457" t="s">
        <v>16</v>
      </c>
      <c r="F133" s="458">
        <f>237.3/((7.5/LOG10(((6.11*10^(7.5*$T$22/($T$22+237.3))*$U$22/100)-((6.11*10^(7.5*$T$22/($T$22+237.3))*$U$22/100)-(6.11*10^(7.5*$D133/($D133+237.3))*$N92/100))*H96/F127)/6.11))-1)</f>
        <v>7.0843168861848973</v>
      </c>
      <c r="G133" s="596"/>
      <c r="H133" s="52"/>
      <c r="I133" s="77"/>
      <c r="J133" s="77"/>
      <c r="K133" s="77"/>
      <c r="L133" s="77"/>
      <c r="M133" s="78"/>
      <c r="N133" s="78"/>
      <c r="O133" s="79"/>
      <c r="P133" s="75"/>
      <c r="Q133" s="75"/>
      <c r="S133" s="16"/>
      <c r="T133" s="31"/>
      <c r="U133" s="31"/>
      <c r="V133" s="13"/>
      <c r="W133" s="16"/>
      <c r="X133" s="31"/>
      <c r="Y133" s="31"/>
      <c r="Z133" s="13"/>
    </row>
    <row r="134" spans="1:32" ht="12.75" customHeight="1" x14ac:dyDescent="0.25">
      <c r="A134" s="2"/>
      <c r="B134" s="2"/>
      <c r="C134" s="2"/>
      <c r="D134" s="2"/>
      <c r="E134" s="2"/>
      <c r="F134" s="2"/>
      <c r="G134" s="2"/>
      <c r="H134" s="2"/>
      <c r="I134" s="93"/>
      <c r="J134" s="93"/>
      <c r="K134" s="94"/>
      <c r="L134" s="94"/>
      <c r="M134" s="82"/>
      <c r="N134" s="82"/>
      <c r="O134" s="82"/>
      <c r="P134" s="82"/>
      <c r="Q134" s="82"/>
    </row>
    <row r="135" spans="1:32" ht="12" customHeight="1" x14ac:dyDescent="0.25">
      <c r="A135" s="505" t="s">
        <v>188</v>
      </c>
      <c r="B135" s="551" t="s">
        <v>189</v>
      </c>
      <c r="C135" s="552"/>
      <c r="D135" s="553"/>
      <c r="E135" s="476" t="s">
        <v>276</v>
      </c>
      <c r="F135" s="477" t="s">
        <v>111</v>
      </c>
      <c r="G135" s="478" t="s">
        <v>190</v>
      </c>
      <c r="H135" s="505" t="s">
        <v>191</v>
      </c>
      <c r="I135" s="479" t="s">
        <v>192</v>
      </c>
      <c r="J135" s="517">
        <f>IF(G136="冬型結露",$T$3,26)</f>
        <v>15</v>
      </c>
      <c r="K135" s="518"/>
      <c r="L135" s="505" t="s">
        <v>193</v>
      </c>
      <c r="M135" s="479" t="s">
        <v>192</v>
      </c>
      <c r="N135" s="517">
        <f>IF(G136="夏型結露",VLOOKUP(F136,$S$16:$U$19,2,FALSE),VLOOKUP(E136,$S$5:$U$12,2,FALSE))</f>
        <v>3.6</v>
      </c>
      <c r="O135" s="518"/>
      <c r="P135" s="19"/>
      <c r="Q135" s="19"/>
      <c r="V135" s="13"/>
      <c r="Z135" s="13"/>
      <c r="AB135" s="16" t="s">
        <v>73</v>
      </c>
      <c r="AC135" s="16" t="s">
        <v>194</v>
      </c>
      <c r="AD135" s="16" t="s">
        <v>195</v>
      </c>
      <c r="AE135" s="16" t="s">
        <v>196</v>
      </c>
      <c r="AF135" s="16" t="s">
        <v>197</v>
      </c>
    </row>
    <row r="136" spans="1:32" ht="12" customHeight="1" x14ac:dyDescent="0.25">
      <c r="A136" s="506"/>
      <c r="B136" s="554"/>
      <c r="C136" s="555"/>
      <c r="D136" s="556"/>
      <c r="E136" s="536" t="s">
        <v>38</v>
      </c>
      <c r="F136" s="527" t="s">
        <v>53</v>
      </c>
      <c r="G136" s="538" t="s">
        <v>52</v>
      </c>
      <c r="H136" s="506"/>
      <c r="I136" s="21" t="s">
        <v>198</v>
      </c>
      <c r="J136" s="515">
        <f>IF(G136="冬型結露",$U$3,60)</f>
        <v>60</v>
      </c>
      <c r="K136" s="516"/>
      <c r="L136" s="506"/>
      <c r="M136" s="21" t="s">
        <v>198</v>
      </c>
      <c r="N136" s="515">
        <f>IF(G136="夏型結露",VLOOKUP(F136,$S$16:$U$19,3,FALSE),VLOOKUP(E136,$S$5:$U$12,3,FALSE))</f>
        <v>70</v>
      </c>
      <c r="O136" s="516"/>
      <c r="P136" s="22"/>
      <c r="Q136" s="22"/>
      <c r="S136" s="16"/>
      <c r="T136" s="502"/>
      <c r="U136" s="502"/>
      <c r="V136" s="13"/>
      <c r="W136" s="16"/>
      <c r="X136" s="502"/>
      <c r="Y136" s="502"/>
      <c r="Z136" s="13"/>
      <c r="AD136" s="26">
        <v>0</v>
      </c>
      <c r="AE136" s="26">
        <f>J135</f>
        <v>15</v>
      </c>
      <c r="AF136" s="26">
        <f>237.3/((7.5/LOG10(J137/611))-1)</f>
        <v>7.3061185391618908</v>
      </c>
    </row>
    <row r="137" spans="1:32" ht="12" customHeight="1" x14ac:dyDescent="0.25">
      <c r="A137" s="507"/>
      <c r="B137" s="557"/>
      <c r="C137" s="558"/>
      <c r="D137" s="559"/>
      <c r="E137" s="537"/>
      <c r="F137" s="528"/>
      <c r="G137" s="539"/>
      <c r="H137" s="507"/>
      <c r="I137" s="27" t="s">
        <v>201</v>
      </c>
      <c r="J137" s="513">
        <f>EXP(-6096.938/(J135+273.15)+21.2409642-2.711193*10^-2*(J135+273.15)+1.673952*10^-5*(J135+273.15)^2+2.433502*LN((J135+273.15)))*J136/100</f>
        <v>1023.4297740044822</v>
      </c>
      <c r="K137" s="514"/>
      <c r="L137" s="507"/>
      <c r="M137" s="28" t="s">
        <v>201</v>
      </c>
      <c r="N137" s="513">
        <f>EXP(-6096.938/(N135+273.15)+21.2409642-2.711193*10^-2*(N135+273.15)+1.673952*10^-5*(N135+273.15)^2+2.433502*LN((N135+273.15)))*N136/100</f>
        <v>553.64452322424734</v>
      </c>
      <c r="O137" s="514"/>
      <c r="P137" s="29"/>
      <c r="Q137" s="29"/>
      <c r="S137" s="16"/>
      <c r="T137" s="502"/>
      <c r="U137" s="502"/>
      <c r="V137" s="13"/>
      <c r="W137" s="16"/>
      <c r="X137" s="502"/>
      <c r="Y137" s="502"/>
      <c r="Z137" s="13"/>
      <c r="AD137" s="26">
        <v>47</v>
      </c>
      <c r="AE137" s="26">
        <f>J135</f>
        <v>15</v>
      </c>
      <c r="AF137" s="26">
        <f>237.3/((7.5/LOG10(J137/611))-1)</f>
        <v>7.3061185391618908</v>
      </c>
    </row>
    <row r="138" spans="1:32" ht="12" customHeight="1" x14ac:dyDescent="0.25">
      <c r="A138" s="506" t="s">
        <v>286</v>
      </c>
      <c r="B138" s="564" t="s">
        <v>296</v>
      </c>
      <c r="C138" s="565"/>
      <c r="D138" s="35" t="s">
        <v>293</v>
      </c>
      <c r="E138" s="33" t="s">
        <v>203</v>
      </c>
      <c r="F138" s="36" t="s">
        <v>294</v>
      </c>
      <c r="G138" s="37" t="s">
        <v>295</v>
      </c>
      <c r="H138" s="37" t="s">
        <v>204</v>
      </c>
      <c r="I138" s="34" t="s">
        <v>196</v>
      </c>
      <c r="J138" s="34" t="s">
        <v>197</v>
      </c>
      <c r="K138" s="35" t="s">
        <v>205</v>
      </c>
      <c r="L138" s="36" t="s">
        <v>201</v>
      </c>
      <c r="M138" s="498" t="s">
        <v>206</v>
      </c>
      <c r="N138" s="480" t="s">
        <v>124</v>
      </c>
      <c r="O138" s="480" t="s">
        <v>207</v>
      </c>
      <c r="P138" s="38" t="s">
        <v>568</v>
      </c>
      <c r="Q138" s="38" t="s">
        <v>569</v>
      </c>
      <c r="S138" s="16"/>
      <c r="T138" s="502"/>
      <c r="U138" s="502"/>
      <c r="V138" s="13"/>
      <c r="W138" s="16"/>
      <c r="X138" s="502"/>
      <c r="Y138" s="502"/>
      <c r="Z138" s="13"/>
      <c r="AB138" s="16" t="s">
        <v>209</v>
      </c>
      <c r="AC138" s="13">
        <v>50</v>
      </c>
      <c r="AD138" s="26">
        <f>AC138</f>
        <v>50</v>
      </c>
      <c r="AE138" s="26">
        <f>I140</f>
        <v>9.3000000000000007</v>
      </c>
      <c r="AF138" s="26">
        <f>J140</f>
        <v>7.1525963981427259</v>
      </c>
    </row>
    <row r="139" spans="1:32" ht="12" customHeight="1" x14ac:dyDescent="0.25">
      <c r="A139" s="507"/>
      <c r="B139" s="566"/>
      <c r="C139" s="567"/>
      <c r="D139" s="42" t="s">
        <v>125</v>
      </c>
      <c r="E139" s="40" t="s">
        <v>210</v>
      </c>
      <c r="F139" s="43" t="s">
        <v>211</v>
      </c>
      <c r="G139" s="44" t="s">
        <v>212</v>
      </c>
      <c r="H139" s="44" t="s">
        <v>213</v>
      </c>
      <c r="I139" s="41" t="s">
        <v>214</v>
      </c>
      <c r="J139" s="41" t="s">
        <v>215</v>
      </c>
      <c r="K139" s="42" t="s">
        <v>216</v>
      </c>
      <c r="L139" s="43" t="s">
        <v>216</v>
      </c>
      <c r="M139" s="499"/>
      <c r="N139" s="44" t="s">
        <v>113</v>
      </c>
      <c r="O139" s="44" t="s">
        <v>217</v>
      </c>
      <c r="P139" s="44" t="s">
        <v>217</v>
      </c>
      <c r="Q139" s="44" t="s">
        <v>570</v>
      </c>
      <c r="S139" s="16"/>
      <c r="T139" s="502"/>
      <c r="U139" s="502"/>
      <c r="V139" s="13"/>
      <c r="W139" s="16"/>
      <c r="X139" s="502"/>
      <c r="Y139" s="502"/>
      <c r="Z139" s="13"/>
      <c r="AB139" s="16">
        <v>1</v>
      </c>
      <c r="AC139" s="45">
        <f>F141</f>
        <v>0</v>
      </c>
      <c r="AD139" s="26">
        <f>AC139+AD138</f>
        <v>50</v>
      </c>
      <c r="AE139" s="26">
        <f>I142</f>
        <v>9.3000000000000007</v>
      </c>
      <c r="AF139" s="26">
        <f>J142</f>
        <v>7.1525963981427259</v>
      </c>
    </row>
    <row r="140" spans="1:32" ht="12" customHeight="1" x14ac:dyDescent="0.25">
      <c r="A140" s="475" t="s">
        <v>186</v>
      </c>
      <c r="B140" s="540" t="s">
        <v>218</v>
      </c>
      <c r="C140" s="541"/>
      <c r="D140" s="542" t="str">
        <f>F136</f>
        <v>外壁</v>
      </c>
      <c r="E140" s="543"/>
      <c r="F140" s="544"/>
      <c r="G140" s="481">
        <f>IF(F136="屋根",0.09,IF(F136="外壁",0.11,IF(F136="天井",0.09,0.15)))</f>
        <v>0.11</v>
      </c>
      <c r="H140" s="482">
        <f>IF(F136="屋根",0.042,IF(F136="外壁",0.042,IF(F136="天井",0.042,0.042)))*3600*10^-9/760*1.013*10^5</f>
        <v>2.0153368421052633E-5</v>
      </c>
      <c r="I140" s="560">
        <f>J135-(J135-N135)*G140/F166</f>
        <v>9.3000000000000007</v>
      </c>
      <c r="J140" s="561">
        <f>237.3/((7.5/LOG10(L140/611))-1)</f>
        <v>7.1525963981427259</v>
      </c>
      <c r="K140" s="529">
        <f>EXP(-6096.938/(I140+273.15)+21.2409642-2.711193*10^-2*(I140+273.15)+1.673952*10^-5*(I140+273.15)^2+2.433502*LN((I140+273.15)))</f>
        <v>1171.7052017269605</v>
      </c>
      <c r="L140" s="530">
        <f>J137-(J137-N137)*H140/F171</f>
        <v>1012.7180581886462</v>
      </c>
      <c r="M140" s="512" t="str">
        <f>IF(L140/K140&lt;1,"○","×")</f>
        <v>○</v>
      </c>
      <c r="N140" s="500">
        <f>IF(L140/K140&gt;1,1,L140/K140)</f>
        <v>0.86431131029888297</v>
      </c>
      <c r="O140" s="501">
        <f>EXP(1.32774+7.80136*10^-2*I140-2.87894*10^-4*I140^2+1.36152*10^-6*I140^3+3.49024*10^-9*I140^4-4.87306*10^-3*ABS(I140))</f>
        <v>7.2729961141877615</v>
      </c>
      <c r="P140" s="497">
        <f>O140*N140</f>
        <v>6.2861328012523083</v>
      </c>
      <c r="Q140" s="497">
        <f>1.005*I140+(O140/1000)*(2501.1+1.846*I140)</f>
        <v>27.661851923884161</v>
      </c>
      <c r="S140" s="16"/>
      <c r="T140" s="502"/>
      <c r="U140" s="502"/>
      <c r="V140" s="13"/>
      <c r="W140" s="16"/>
      <c r="X140" s="502"/>
      <c r="Y140" s="502"/>
      <c r="Z140" s="13"/>
      <c r="AB140" s="16">
        <v>2</v>
      </c>
      <c r="AC140" s="45">
        <f>F143</f>
        <v>0</v>
      </c>
      <c r="AD140" s="26">
        <f>AD139+AC140</f>
        <v>50</v>
      </c>
      <c r="AE140" s="26">
        <f>I144</f>
        <v>9.3000000000000007</v>
      </c>
      <c r="AF140" s="26">
        <f>J144</f>
        <v>7.1525963981427259</v>
      </c>
    </row>
    <row r="141" spans="1:32" ht="12" customHeight="1" x14ac:dyDescent="0.25">
      <c r="A141" s="545" t="s">
        <v>119</v>
      </c>
      <c r="B141" s="547"/>
      <c r="C141" s="548"/>
      <c r="D141" s="534" t="str">
        <f>IF(B141="","",VLOOKUP(B141,素材データ!$A$5:$AA$384,2,FALSE))</f>
        <v/>
      </c>
      <c r="E141" s="534" t="str">
        <f>IF(B141="","",VLOOKUP(B141,素材データ!$A$5:$AA$384,4,FALSE))</f>
        <v/>
      </c>
      <c r="F141" s="523"/>
      <c r="G141" s="525">
        <f>IF(D141="",0,IF(D141=0,VLOOKUP(B141,素材データ!$A$5:$AA$364,9,FALSE),IF(D141=0,0,F141/D141/1000)))</f>
        <v>0</v>
      </c>
      <c r="H141" s="532">
        <f>IF(E141="",0,IF(E141=0,VLOOKUP(B141,素材データ!$A$5:$AA$364,11,FALSE),E141*F141/1000))</f>
        <v>0</v>
      </c>
      <c r="I141" s="531"/>
      <c r="J141" s="520"/>
      <c r="K141" s="519"/>
      <c r="L141" s="504"/>
      <c r="M141" s="495"/>
      <c r="N141" s="494"/>
      <c r="O141" s="496"/>
      <c r="P141" s="496"/>
      <c r="Q141" s="496"/>
      <c r="S141" s="16"/>
      <c r="T141" s="502"/>
      <c r="U141" s="502"/>
      <c r="V141" s="13"/>
      <c r="W141" s="16"/>
      <c r="X141" s="502"/>
      <c r="Y141" s="502"/>
      <c r="Z141" s="13"/>
      <c r="AB141" s="16">
        <v>3</v>
      </c>
      <c r="AC141" s="45">
        <f>F145</f>
        <v>0</v>
      </c>
      <c r="AD141" s="26">
        <f>AD140+AC141</f>
        <v>50</v>
      </c>
      <c r="AE141" s="26">
        <f>I146</f>
        <v>9.3000000000000007</v>
      </c>
      <c r="AF141" s="26">
        <f>J146</f>
        <v>7.1525963981427259</v>
      </c>
    </row>
    <row r="142" spans="1:32" ht="12" customHeight="1" x14ac:dyDescent="0.25">
      <c r="A142" s="546"/>
      <c r="B142" s="549"/>
      <c r="C142" s="550"/>
      <c r="D142" s="535"/>
      <c r="E142" s="535"/>
      <c r="F142" s="524"/>
      <c r="G142" s="526"/>
      <c r="H142" s="533"/>
      <c r="I142" s="531">
        <f>J135-(J135-N135)*(G140+G141)/F166</f>
        <v>9.3000000000000007</v>
      </c>
      <c r="J142" s="520">
        <f>237.3/((7.5/LOG10(L142/611))-1)</f>
        <v>7.1525963981427259</v>
      </c>
      <c r="K142" s="519">
        <f>EXP(-6096.938/(I142+273.15)+21.2409642-2.711193*10^-2*(I142+273.15)+1.673952*10^-5*(I142+273.15)^2+2.433502*LN((I142+273.15)))</f>
        <v>1171.7052017269605</v>
      </c>
      <c r="L142" s="504">
        <f>J137-(J137-N137)*(H140+H141)/F171</f>
        <v>1012.7180581886462</v>
      </c>
      <c r="M142" s="495" t="str">
        <f>IF(L142/K142&lt;1,"○","×")</f>
        <v>○</v>
      </c>
      <c r="N142" s="494">
        <f>IF(L142/K142&gt;1,1,L142/K142)</f>
        <v>0.86431131029888297</v>
      </c>
      <c r="O142" s="496">
        <f>EXP(1.32774+7.80136*10^-2*I142-2.87894*10^-4*I142^2+1.36152*10^-6*I142^3+3.49024*10^-9*I142^4-4.87306*10^-3*ABS(I142))</f>
        <v>7.2729961141877615</v>
      </c>
      <c r="P142" s="497">
        <f t="shared" ref="P142" si="75">O142*N142</f>
        <v>6.2861328012523083</v>
      </c>
      <c r="Q142" s="497">
        <f t="shared" ref="Q142" si="76">1.005*I142+(O142/1000)*(2501.1+1.846*I142)</f>
        <v>27.661851923884161</v>
      </c>
      <c r="AB142" s="16">
        <v>4</v>
      </c>
      <c r="AC142" s="45">
        <f>F147</f>
        <v>0</v>
      </c>
      <c r="AD142" s="26">
        <f t="shared" ref="AD142:AD152" si="77">AD141+AC142</f>
        <v>50</v>
      </c>
      <c r="AE142" s="26">
        <f>I148</f>
        <v>9.3000000000000007</v>
      </c>
      <c r="AF142" s="26">
        <f>J148</f>
        <v>7.1525963981427259</v>
      </c>
    </row>
    <row r="143" spans="1:32" ht="12" customHeight="1" x14ac:dyDescent="0.25">
      <c r="A143" s="545" t="s">
        <v>120</v>
      </c>
      <c r="B143" s="547"/>
      <c r="C143" s="548"/>
      <c r="D143" s="534" t="str">
        <f>IF(B143="","",VLOOKUP(B143,素材データ!$A$5:$AA$384,2,FALSE))</f>
        <v/>
      </c>
      <c r="E143" s="534" t="str">
        <f>IF(B143="","",VLOOKUP(B143,素材データ!$A$5:$AA$384,4,FALSE))</f>
        <v/>
      </c>
      <c r="F143" s="523"/>
      <c r="G143" s="525">
        <f>IF(D143="",0,IF(D143=0,VLOOKUP(B143,素材データ!$A$5:$AA$364,9,FALSE),IF(D143=0,0,F143/D143/1000)))</f>
        <v>0</v>
      </c>
      <c r="H143" s="532">
        <f>IF(E143="",0,IF(E143=0,VLOOKUP(B143,素材データ!$A$5:$AA$364,11,FALSE),E143*F143/1000))</f>
        <v>0</v>
      </c>
      <c r="I143" s="531"/>
      <c r="J143" s="520"/>
      <c r="K143" s="519"/>
      <c r="L143" s="504"/>
      <c r="M143" s="495"/>
      <c r="N143" s="494"/>
      <c r="O143" s="496"/>
      <c r="P143" s="496"/>
      <c r="Q143" s="496"/>
      <c r="R143" s="16"/>
      <c r="AB143" s="16">
        <v>5</v>
      </c>
      <c r="AC143" s="45">
        <f>F149</f>
        <v>0</v>
      </c>
      <c r="AD143" s="26">
        <f t="shared" si="77"/>
        <v>50</v>
      </c>
      <c r="AE143" s="26">
        <f>I150</f>
        <v>9.3000000000000007</v>
      </c>
      <c r="AF143" s="26">
        <f>J150</f>
        <v>7.1525963981427259</v>
      </c>
    </row>
    <row r="144" spans="1:32" ht="12" customHeight="1" x14ac:dyDescent="0.25">
      <c r="A144" s="546"/>
      <c r="B144" s="549"/>
      <c r="C144" s="550"/>
      <c r="D144" s="535"/>
      <c r="E144" s="535"/>
      <c r="F144" s="524"/>
      <c r="G144" s="526"/>
      <c r="H144" s="533"/>
      <c r="I144" s="531">
        <f>J135-(J135-N135)*(G140+G141+G143)/F166</f>
        <v>9.3000000000000007</v>
      </c>
      <c r="J144" s="520">
        <f>237.3/((7.5/LOG10(L144/611))-1)</f>
        <v>7.1525963981427259</v>
      </c>
      <c r="K144" s="519">
        <f>EXP(-6096.938/(I144+273.15)+21.2409642-2.711193*10^-2*(I144+273.15)+1.673952*10^-5*(I144+273.15)^2+2.433502*LN((I144+273.15)))</f>
        <v>1171.7052017269605</v>
      </c>
      <c r="L144" s="504">
        <f>J137-(J137-N137)*(H140+H141+H143)/F171</f>
        <v>1012.7180581886462</v>
      </c>
      <c r="M144" s="495" t="str">
        <f>IF(L144/K144&lt;1,"○","×")</f>
        <v>○</v>
      </c>
      <c r="N144" s="494">
        <f>IF(L144/K144&gt;1,1,L144/K144)</f>
        <v>0.86431131029888297</v>
      </c>
      <c r="O144" s="496">
        <f>EXP(1.32774+7.80136*10^-2*I144-2.87894*10^-4*I144^2+1.36152*10^-6*I144^3+3.49024*10^-9*I144^4-4.87306*10^-3*ABS(I144))</f>
        <v>7.2729961141877615</v>
      </c>
      <c r="P144" s="497">
        <f t="shared" ref="P144" si="78">O144*N144</f>
        <v>6.2861328012523083</v>
      </c>
      <c r="Q144" s="497">
        <f t="shared" ref="Q144" si="79">1.005*I144+(O144/1000)*(2501.1+1.846*I144)</f>
        <v>27.661851923884161</v>
      </c>
      <c r="R144" s="16"/>
      <c r="S144" s="56"/>
      <c r="U144" s="13"/>
      <c r="W144" s="56"/>
      <c r="Y144" s="13"/>
      <c r="AB144" s="16">
        <v>6</v>
      </c>
      <c r="AC144" s="45">
        <f>F151</f>
        <v>0</v>
      </c>
      <c r="AD144" s="26">
        <f t="shared" si="77"/>
        <v>50</v>
      </c>
      <c r="AE144" s="26">
        <f>I152</f>
        <v>9.3000000000000007</v>
      </c>
      <c r="AF144" s="26">
        <f>J152</f>
        <v>7.1525963981427259</v>
      </c>
    </row>
    <row r="145" spans="1:32" ht="12" customHeight="1" x14ac:dyDescent="0.25">
      <c r="A145" s="545" t="s">
        <v>121</v>
      </c>
      <c r="B145" s="547"/>
      <c r="C145" s="548"/>
      <c r="D145" s="534" t="str">
        <f>IF(B145="","",VLOOKUP(B145,素材データ!$A$5:$AA$384,2,FALSE))</f>
        <v/>
      </c>
      <c r="E145" s="534" t="str">
        <f>IF(B145="","",VLOOKUP(B145,素材データ!$A$5:$AA$384,4,FALSE))</f>
        <v/>
      </c>
      <c r="F145" s="523"/>
      <c r="G145" s="525">
        <f>IF(D145="",0,IF(D145=0,VLOOKUP(B145,素材データ!$A$5:$AA$364,9,FALSE),IF(D145=0,0,F145/D145/1000)))</f>
        <v>0</v>
      </c>
      <c r="H145" s="532">
        <f>IF(E145="",0,IF(E145=0,VLOOKUP(B145,素材データ!$A$5:$AA$364,11,FALSE),E145*F145/1000))</f>
        <v>0</v>
      </c>
      <c r="I145" s="531"/>
      <c r="J145" s="520"/>
      <c r="K145" s="519"/>
      <c r="L145" s="504"/>
      <c r="M145" s="495"/>
      <c r="N145" s="494"/>
      <c r="O145" s="496"/>
      <c r="P145" s="496"/>
      <c r="Q145" s="496"/>
      <c r="R145" s="30"/>
      <c r="T145" s="16"/>
      <c r="X145" s="16"/>
      <c r="AB145" s="16">
        <v>7</v>
      </c>
      <c r="AC145" s="45">
        <f>F153</f>
        <v>0</v>
      </c>
      <c r="AD145" s="26">
        <f t="shared" si="77"/>
        <v>50</v>
      </c>
      <c r="AE145" s="26">
        <f>I154</f>
        <v>9.3000000000000007</v>
      </c>
      <c r="AF145" s="26">
        <f>J154</f>
        <v>7.1525963981427259</v>
      </c>
    </row>
    <row r="146" spans="1:32" ht="12" customHeight="1" x14ac:dyDescent="0.25">
      <c r="A146" s="546"/>
      <c r="B146" s="549"/>
      <c r="C146" s="550"/>
      <c r="D146" s="535"/>
      <c r="E146" s="535"/>
      <c r="F146" s="524"/>
      <c r="G146" s="526"/>
      <c r="H146" s="533"/>
      <c r="I146" s="531">
        <f>J135-(J135-N135)*(G140+G141+G143+G145)/F166</f>
        <v>9.3000000000000007</v>
      </c>
      <c r="J146" s="520">
        <f>237.3/((7.5/LOG10(L146/611))-1)</f>
        <v>7.1525963981427259</v>
      </c>
      <c r="K146" s="519">
        <f>EXP(-6096.938/(I146+273.15)+21.2409642-2.711193*10^-2*(I146+273.15)+1.673952*10^-5*(I146+273.15)^2+2.433502*LN((I146+273.15)))</f>
        <v>1171.7052017269605</v>
      </c>
      <c r="L146" s="504">
        <f>J137-(J137-N137)*(H140+H141+H143+H145)/F171</f>
        <v>1012.7180581886462</v>
      </c>
      <c r="M146" s="495" t="str">
        <f>IF(L146/K146&lt;1,"○","×")</f>
        <v>○</v>
      </c>
      <c r="N146" s="494">
        <f>IF(L146/K146&gt;1,1,L146/K146)</f>
        <v>0.86431131029888297</v>
      </c>
      <c r="O146" s="496">
        <f>EXP(1.32774+7.80136*10^-2*I146-2.87894*10^-4*I146^2+1.36152*10^-6*I146^3+3.49024*10^-9*I146^4-4.87306*10^-3*ABS(I146))</f>
        <v>7.2729961141877615</v>
      </c>
      <c r="P146" s="497">
        <f t="shared" ref="P146" si="80">O146*N146</f>
        <v>6.2861328012523083</v>
      </c>
      <c r="Q146" s="497">
        <f t="shared" ref="Q146" si="81">1.005*I146+(O146/1000)*(2501.1+1.846*I146)</f>
        <v>27.661851923884161</v>
      </c>
      <c r="R146" s="30"/>
      <c r="S146" s="56"/>
      <c r="T146" s="73"/>
      <c r="W146" s="56"/>
      <c r="X146" s="73"/>
      <c r="AB146" s="16">
        <v>8</v>
      </c>
      <c r="AC146" s="45">
        <f>F155</f>
        <v>0</v>
      </c>
      <c r="AD146" s="26">
        <f t="shared" si="77"/>
        <v>50</v>
      </c>
      <c r="AE146" s="26">
        <f>I156</f>
        <v>9.3000000000000007</v>
      </c>
      <c r="AF146" s="26">
        <f>J156</f>
        <v>7.1525963981427259</v>
      </c>
    </row>
    <row r="147" spans="1:32" ht="12" customHeight="1" x14ac:dyDescent="0.25">
      <c r="A147" s="545" t="s">
        <v>122</v>
      </c>
      <c r="B147" s="547"/>
      <c r="C147" s="548"/>
      <c r="D147" s="534" t="str">
        <f>IF(B147="","",VLOOKUP(B147,素材データ!$A$5:$AA$384,2,FALSE))</f>
        <v/>
      </c>
      <c r="E147" s="534" t="str">
        <f>IF(B147="","",VLOOKUP(B147,素材データ!$A$5:$AA$384,4,FALSE))</f>
        <v/>
      </c>
      <c r="F147" s="523"/>
      <c r="G147" s="525">
        <f>IF(D147="",0,IF(D147=0,VLOOKUP(B147,素材データ!$A$5:$AA$364,9,FALSE),IF(D147=0,0,F147/D147/1000)))</f>
        <v>0</v>
      </c>
      <c r="H147" s="532">
        <f>IF(E147="",0,IF(E147=0,VLOOKUP(B147,素材データ!$A$5:$AA$364,11,FALSE),E147*F147/1000))</f>
        <v>0</v>
      </c>
      <c r="I147" s="531"/>
      <c r="J147" s="520"/>
      <c r="K147" s="519"/>
      <c r="L147" s="504"/>
      <c r="M147" s="495"/>
      <c r="N147" s="494"/>
      <c r="O147" s="496"/>
      <c r="P147" s="496"/>
      <c r="Q147" s="496"/>
      <c r="R147" s="16"/>
      <c r="S147" s="56"/>
      <c r="T147" s="73"/>
      <c r="V147" s="74"/>
      <c r="W147" s="56"/>
      <c r="X147" s="73"/>
      <c r="Z147" s="74"/>
      <c r="AB147" s="16">
        <v>9</v>
      </c>
      <c r="AC147" s="45">
        <f>F157</f>
        <v>0</v>
      </c>
      <c r="AD147" s="26">
        <f t="shared" si="77"/>
        <v>50</v>
      </c>
      <c r="AE147" s="26">
        <f>I158</f>
        <v>9.3000000000000007</v>
      </c>
      <c r="AF147" s="26">
        <f>J158</f>
        <v>7.1525963981427259</v>
      </c>
    </row>
    <row r="148" spans="1:32" ht="12" customHeight="1" x14ac:dyDescent="0.25">
      <c r="A148" s="546"/>
      <c r="B148" s="549"/>
      <c r="C148" s="550"/>
      <c r="D148" s="535"/>
      <c r="E148" s="535"/>
      <c r="F148" s="524"/>
      <c r="G148" s="526"/>
      <c r="H148" s="533"/>
      <c r="I148" s="531">
        <f>J135-(J135-N135)*(G140+G141+G143+G145+G147)/F166</f>
        <v>9.3000000000000007</v>
      </c>
      <c r="J148" s="520">
        <f>237.3/((7.5/LOG10(L148/611))-1)</f>
        <v>7.1525963981427259</v>
      </c>
      <c r="K148" s="519">
        <f>EXP(-6096.938/(I148+273.15)+21.2409642-2.711193*10^-2*(I148+273.15)+1.673952*10^-5*(I148+273.15)^2+2.433502*LN((I148+273.15)))</f>
        <v>1171.7052017269605</v>
      </c>
      <c r="L148" s="504">
        <f>J137-(J137-N137)*(H140+H141+H143+H145+H147)/F171</f>
        <v>1012.7180581886462</v>
      </c>
      <c r="M148" s="495" t="str">
        <f>IF(L148/K148&lt;1,"○","×")</f>
        <v>○</v>
      </c>
      <c r="N148" s="494">
        <f>IF(L148/K148&gt;1,1,L148/K148)</f>
        <v>0.86431131029888297</v>
      </c>
      <c r="O148" s="496">
        <f>EXP(1.32774+7.80136*10^-2*I148-2.87894*10^-4*I148^2+1.36152*10^-6*I148^3+3.49024*10^-9*I148^4-4.87306*10^-3*ABS(I148))</f>
        <v>7.2729961141877615</v>
      </c>
      <c r="P148" s="497">
        <f t="shared" ref="P148" si="82">O148*N148</f>
        <v>6.2861328012523083</v>
      </c>
      <c r="Q148" s="497">
        <f t="shared" ref="Q148" si="83">1.005*I148+(O148/1000)*(2501.1+1.846*I148)</f>
        <v>27.661851923884161</v>
      </c>
      <c r="R148" s="16"/>
      <c r="S148" s="82"/>
      <c r="T148" s="82"/>
      <c r="U148" s="13"/>
      <c r="V148" s="13"/>
      <c r="W148" s="82"/>
      <c r="X148" s="82"/>
      <c r="Y148" s="13"/>
      <c r="Z148" s="13"/>
      <c r="AB148" s="16">
        <v>10</v>
      </c>
      <c r="AC148" s="45">
        <f>F159</f>
        <v>0</v>
      </c>
      <c r="AD148" s="26">
        <f t="shared" si="77"/>
        <v>50</v>
      </c>
      <c r="AE148" s="26">
        <f>I160</f>
        <v>9.3000000000000007</v>
      </c>
      <c r="AF148" s="26">
        <f>J160</f>
        <v>7.1525963981427259</v>
      </c>
    </row>
    <row r="149" spans="1:32" ht="12" customHeight="1" x14ac:dyDescent="0.25">
      <c r="A149" s="545" t="s">
        <v>123</v>
      </c>
      <c r="B149" s="547"/>
      <c r="C149" s="548"/>
      <c r="D149" s="534" t="str">
        <f>IF(B149="","",VLOOKUP(B149,素材データ!$A$5:$AA$384,2,FALSE))</f>
        <v/>
      </c>
      <c r="E149" s="534" t="str">
        <f>IF(B149="","",VLOOKUP(B149,素材データ!$A$5:$AA$384,4,FALSE))</f>
        <v/>
      </c>
      <c r="F149" s="523"/>
      <c r="G149" s="525">
        <f>IF(D149="",0,IF(D149=0,VLOOKUP(B149,素材データ!$A$5:$AA$364,9,FALSE),IF(D149=0,0,F149/D149/1000)))</f>
        <v>0</v>
      </c>
      <c r="H149" s="532">
        <f>IF(E149="",0,IF(E149=0,VLOOKUP(B149,素材データ!$A$5:$AA$364,11,FALSE),E149*F149/1000))</f>
        <v>0</v>
      </c>
      <c r="I149" s="531"/>
      <c r="J149" s="520"/>
      <c r="K149" s="519"/>
      <c r="L149" s="504"/>
      <c r="M149" s="495"/>
      <c r="N149" s="494"/>
      <c r="O149" s="496"/>
      <c r="P149" s="496"/>
      <c r="Q149" s="496"/>
      <c r="AB149" s="16">
        <v>11</v>
      </c>
      <c r="AC149" s="45">
        <f>F161</f>
        <v>0</v>
      </c>
      <c r="AD149" s="26">
        <f t="shared" si="77"/>
        <v>50</v>
      </c>
      <c r="AE149" s="26">
        <f>I162</f>
        <v>9.3000000000000007</v>
      </c>
      <c r="AF149" s="26">
        <f>J162</f>
        <v>7.1525963981427259</v>
      </c>
    </row>
    <row r="150" spans="1:32" ht="12" customHeight="1" x14ac:dyDescent="0.25">
      <c r="A150" s="546"/>
      <c r="B150" s="549"/>
      <c r="C150" s="550"/>
      <c r="D150" s="535"/>
      <c r="E150" s="535"/>
      <c r="F150" s="524"/>
      <c r="G150" s="526"/>
      <c r="H150" s="533"/>
      <c r="I150" s="531">
        <f>J135-(J135-N135)*(G140+G141+G143+G145+G147+G149)/F166</f>
        <v>9.3000000000000007</v>
      </c>
      <c r="J150" s="520">
        <f>237.3/((7.5/LOG10(L150/611))-1)</f>
        <v>7.1525963981427259</v>
      </c>
      <c r="K150" s="519">
        <f>EXP(-6096.938/(I150+273.15)+21.2409642-2.711193*10^-2*(I150+273.15)+1.673952*10^-5*(I150+273.15)^2+2.433502*LN((I150+273.15)))</f>
        <v>1171.7052017269605</v>
      </c>
      <c r="L150" s="504">
        <f>J137-(J137-N137)*(H140+H141+H143+H145+H147+H149)/F171</f>
        <v>1012.7180581886462</v>
      </c>
      <c r="M150" s="495" t="str">
        <f>IF(L150/K150&lt;1,"○","×")</f>
        <v>○</v>
      </c>
      <c r="N150" s="494">
        <f>IF(L150/K150&gt;1,1,L150/K150)</f>
        <v>0.86431131029888297</v>
      </c>
      <c r="O150" s="496">
        <f>EXP(1.32774+7.80136*10^-2*I150-2.87894*10^-4*I150^2+1.36152*10^-6*I150^3+3.49024*10^-9*I150^4-4.87306*10^-3*ABS(I150))</f>
        <v>7.2729961141877615</v>
      </c>
      <c r="P150" s="497">
        <f t="shared" ref="P150" si="84">O150*N150</f>
        <v>6.2861328012523083</v>
      </c>
      <c r="Q150" s="497">
        <f t="shared" ref="Q150" si="85">1.005*I150+(O150/1000)*(2501.1+1.846*I150)</f>
        <v>27.661851923884161</v>
      </c>
      <c r="AB150" s="16">
        <v>12</v>
      </c>
      <c r="AC150" s="45">
        <f>F163</f>
        <v>0</v>
      </c>
      <c r="AD150" s="26">
        <f t="shared" si="77"/>
        <v>50</v>
      </c>
      <c r="AE150" s="26">
        <f>I164</f>
        <v>9.3000000000000007</v>
      </c>
      <c r="AF150" s="26">
        <f>J164</f>
        <v>7.1525963981427259</v>
      </c>
    </row>
    <row r="151" spans="1:32" ht="12" customHeight="1" x14ac:dyDescent="0.25">
      <c r="A151" s="545" t="s">
        <v>300</v>
      </c>
      <c r="B151" s="547"/>
      <c r="C151" s="548"/>
      <c r="D151" s="534" t="str">
        <f>IF(B151="","",VLOOKUP(B151,素材データ!$A$5:$AA$384,2,FALSE))</f>
        <v/>
      </c>
      <c r="E151" s="534" t="str">
        <f>IF(B151="","",VLOOKUP(B151,素材データ!$A$5:$AA$384,4,FALSE))</f>
        <v/>
      </c>
      <c r="F151" s="523"/>
      <c r="G151" s="525">
        <f>IF(D151="",0,IF(D151=0,VLOOKUP(B151,素材データ!$A$5:$AA$364,9,FALSE),IF(D151=0,0,F151/D151/1000)))</f>
        <v>0</v>
      </c>
      <c r="H151" s="532">
        <f>IF(E151="",0,IF(E151=0,VLOOKUP(B151,素材データ!$A$5:$AA$364,11,FALSE),E151*F151/1000))</f>
        <v>0</v>
      </c>
      <c r="I151" s="531"/>
      <c r="J151" s="520"/>
      <c r="K151" s="519"/>
      <c r="L151" s="504"/>
      <c r="M151" s="495"/>
      <c r="N151" s="494"/>
      <c r="O151" s="496"/>
      <c r="P151" s="496"/>
      <c r="Q151" s="496"/>
      <c r="AB151" s="16" t="s">
        <v>63</v>
      </c>
      <c r="AC151" s="45">
        <f>IF(E165="通気層工法(9mm以上)",9,IF(E165="通気層工法(18mm以上)",18,0))</f>
        <v>18</v>
      </c>
      <c r="AD151" s="26">
        <f t="shared" si="77"/>
        <v>68</v>
      </c>
      <c r="AE151" s="26">
        <f>N135</f>
        <v>3.6</v>
      </c>
      <c r="AF151" s="26">
        <f>237.3/((7.5/LOG10(N137/611))-1)</f>
        <v>-1.3468270695015434</v>
      </c>
    </row>
    <row r="152" spans="1:32" ht="12" customHeight="1" x14ac:dyDescent="0.25">
      <c r="A152" s="546"/>
      <c r="B152" s="549"/>
      <c r="C152" s="550"/>
      <c r="D152" s="535"/>
      <c r="E152" s="535"/>
      <c r="F152" s="524"/>
      <c r="G152" s="526"/>
      <c r="H152" s="533"/>
      <c r="I152" s="531">
        <f>J135-(J135-N135)*(G140+G141+G143+G145+G147+G149+G151)/F166</f>
        <v>9.3000000000000007</v>
      </c>
      <c r="J152" s="520">
        <f>237.3/((7.5/LOG10(L152/611))-1)</f>
        <v>7.1525963981427259</v>
      </c>
      <c r="K152" s="519">
        <f>EXP(-6096.938/(I152+273.15)+21.2409642-2.711193*10^-2*(I152+273.15)+1.673952*10^-5*(I152+273.15)^2+2.433502*LN((I152+273.15)))</f>
        <v>1171.7052017269605</v>
      </c>
      <c r="L152" s="504">
        <f>J137-(J137-N137)*(H140+H141+H143+H145+H147+H149+H151)/F171</f>
        <v>1012.7180581886462</v>
      </c>
      <c r="M152" s="495" t="str">
        <f>IF(L152/K152&lt;1,"○","×")</f>
        <v>○</v>
      </c>
      <c r="N152" s="494">
        <f>IF(L152/K152&gt;1,1,L152/K152)</f>
        <v>0.86431131029888297</v>
      </c>
      <c r="O152" s="496">
        <f>EXP(1.32774+7.80136*10^-2*I152-2.87894*10^-4*I152^2+1.36152*10^-6*I152^3+3.49024*10^-9*I152^4-4.87306*10^-3*ABS(I152))</f>
        <v>7.2729961141877615</v>
      </c>
      <c r="P152" s="497">
        <f t="shared" ref="P152" si="86">O152*N152</f>
        <v>6.2861328012523083</v>
      </c>
      <c r="Q152" s="497">
        <f t="shared" ref="Q152" si="87">1.005*I152+(O152/1000)*(2501.1+1.846*I152)</f>
        <v>27.661851923884161</v>
      </c>
      <c r="AC152" s="13">
        <v>50</v>
      </c>
      <c r="AD152" s="26">
        <f t="shared" si="77"/>
        <v>118</v>
      </c>
      <c r="AE152" s="26">
        <f>N135</f>
        <v>3.6</v>
      </c>
      <c r="AF152" s="26">
        <f>237.3/((7.5/LOG10(N137/611))-1)</f>
        <v>-1.3468270695015434</v>
      </c>
    </row>
    <row r="153" spans="1:32" ht="12" customHeight="1" x14ac:dyDescent="0.25">
      <c r="A153" s="545" t="s">
        <v>301</v>
      </c>
      <c r="B153" s="547"/>
      <c r="C153" s="548"/>
      <c r="D153" s="534" t="str">
        <f>IF(B153="","",VLOOKUP(B153,素材データ!$A$5:$AA$384,2,FALSE))</f>
        <v/>
      </c>
      <c r="E153" s="534" t="str">
        <f>IF(B153="","",VLOOKUP(B153,素材データ!$A$5:$AA$384,4,FALSE))</f>
        <v/>
      </c>
      <c r="F153" s="523"/>
      <c r="G153" s="525">
        <f>IF(D153="",0,IF(D153=0,VLOOKUP(B153,素材データ!$A$5:$AA$364,9,FALSE),IF(D153=0,0,F153/D153/1000)))</f>
        <v>0</v>
      </c>
      <c r="H153" s="532">
        <f>IF(E153="",0,IF(E153=0,VLOOKUP(B153,素材データ!$A$5:$AA$364,11,FALSE),E153*F153/1000))</f>
        <v>0</v>
      </c>
      <c r="I153" s="531"/>
      <c r="J153" s="520"/>
      <c r="K153" s="519"/>
      <c r="L153" s="504"/>
      <c r="M153" s="495"/>
      <c r="N153" s="494"/>
      <c r="O153" s="496"/>
      <c r="P153" s="496"/>
      <c r="Q153" s="496"/>
    </row>
    <row r="154" spans="1:32" ht="12" customHeight="1" x14ac:dyDescent="0.25">
      <c r="A154" s="546"/>
      <c r="B154" s="549"/>
      <c r="C154" s="550"/>
      <c r="D154" s="535"/>
      <c r="E154" s="535"/>
      <c r="F154" s="524"/>
      <c r="G154" s="526"/>
      <c r="H154" s="533"/>
      <c r="I154" s="531">
        <f>J135-(J135-N135)*(G140+G141+G143+G145+G147+G149+G151+G153)/F166</f>
        <v>9.3000000000000007</v>
      </c>
      <c r="J154" s="520">
        <f>237.3/((7.5/LOG10(L154/611))-1)</f>
        <v>7.1525963981427259</v>
      </c>
      <c r="K154" s="519">
        <f>EXP(-6096.938/(I154+273.15)+21.2409642-2.711193*10^-2*(I154+273.15)+1.673952*10^-5*(I154+273.15)^2+2.433502*LN((I154+273.15)))</f>
        <v>1171.7052017269605</v>
      </c>
      <c r="L154" s="504">
        <f>J137-(J137-N137)*(H140+H141+H143+H145+H147+H149+H151+H153)/F171</f>
        <v>1012.7180581886462</v>
      </c>
      <c r="M154" s="495" t="str">
        <f>IF(L154/K154&lt;1,"○","×")</f>
        <v>○</v>
      </c>
      <c r="N154" s="494">
        <f>IF(L154/K154&gt;1,1,L154/K154)</f>
        <v>0.86431131029888297</v>
      </c>
      <c r="O154" s="496">
        <f>EXP(1.32774+7.80136*10^-2*I154-2.87894*10^-4*I154^2+1.36152*10^-6*I154^3+3.49024*10^-9*I154^4-4.87306*10^-3*ABS(I154))</f>
        <v>7.2729961141877615</v>
      </c>
      <c r="P154" s="497">
        <f t="shared" ref="P154" si="88">O154*N154</f>
        <v>6.2861328012523083</v>
      </c>
      <c r="Q154" s="497">
        <f t="shared" ref="Q154" si="89">1.005*I154+(O154/1000)*(2501.1+1.846*I154)</f>
        <v>27.661851923884161</v>
      </c>
    </row>
    <row r="155" spans="1:32" ht="12" customHeight="1" x14ac:dyDescent="0.25">
      <c r="A155" s="545" t="s">
        <v>230</v>
      </c>
      <c r="B155" s="547"/>
      <c r="C155" s="548"/>
      <c r="D155" s="534" t="str">
        <f>IF(B155="","",VLOOKUP(B155,素材データ!$A$5:$AA$384,2,FALSE))</f>
        <v/>
      </c>
      <c r="E155" s="534" t="str">
        <f>IF(B155="","",VLOOKUP(B155,素材データ!$A$5:$AA$384,4,FALSE))</f>
        <v/>
      </c>
      <c r="F155" s="523"/>
      <c r="G155" s="525">
        <f>IF(D155="",0,IF(D155=0,VLOOKUP(B155,素材データ!$A$5:$AA$364,9,FALSE),IF(D155=0,0,F155/D155/1000)))</f>
        <v>0</v>
      </c>
      <c r="H155" s="532">
        <f>IF(E155="",0,IF(E155=0,VLOOKUP(B155,素材データ!$A$5:$AA$364,11,FALSE),E155*F155/1000))</f>
        <v>0</v>
      </c>
      <c r="I155" s="531"/>
      <c r="J155" s="520"/>
      <c r="K155" s="519"/>
      <c r="L155" s="504"/>
      <c r="M155" s="495"/>
      <c r="N155" s="494"/>
      <c r="O155" s="496"/>
      <c r="P155" s="496"/>
      <c r="Q155" s="496"/>
    </row>
    <row r="156" spans="1:32" ht="12" customHeight="1" x14ac:dyDescent="0.25">
      <c r="A156" s="546"/>
      <c r="B156" s="549"/>
      <c r="C156" s="550"/>
      <c r="D156" s="535"/>
      <c r="E156" s="535"/>
      <c r="F156" s="524"/>
      <c r="G156" s="526"/>
      <c r="H156" s="533"/>
      <c r="I156" s="531">
        <f>J135-(J135-N135)*(G140+G141+G143+G145+G147+G149+G151+G153+G155)/F166</f>
        <v>9.3000000000000007</v>
      </c>
      <c r="J156" s="520">
        <f>237.3/((7.5/LOG10(L156/611))-1)</f>
        <v>7.1525963981427259</v>
      </c>
      <c r="K156" s="519">
        <f>EXP(-6096.938/(I156+273.15)+21.2409642-2.711193*10^-2*(I156+273.15)+1.673952*10^-5*(I156+273.15)^2+2.433502*LN((I156+273.15)))</f>
        <v>1171.7052017269605</v>
      </c>
      <c r="L156" s="504">
        <f>J137-(J137-N137)*(H140+H141+H143+H145+H147+H149+H151+H153+H155)/F171</f>
        <v>1012.7180581886462</v>
      </c>
      <c r="M156" s="495" t="str">
        <f>IF(L156/K156&lt;1,"○","×")</f>
        <v>○</v>
      </c>
      <c r="N156" s="494">
        <f>IF(L156/K156&gt;1,1,L156/K156)</f>
        <v>0.86431131029888297</v>
      </c>
      <c r="O156" s="496">
        <f>EXP(1.32774+7.80136*10^-2*I156-2.87894*10^-4*I156^2+1.36152*10^-6*I156^3+3.49024*10^-9*I156^4-4.87306*10^-3*ABS(I156))</f>
        <v>7.2729961141877615</v>
      </c>
      <c r="P156" s="497">
        <f t="shared" ref="P156" si="90">O156*N156</f>
        <v>6.2861328012523083</v>
      </c>
      <c r="Q156" s="497">
        <f t="shared" ref="Q156" si="91">1.005*I156+(O156/1000)*(2501.1+1.846*I156)</f>
        <v>27.661851923884161</v>
      </c>
    </row>
    <row r="157" spans="1:32" ht="12" customHeight="1" x14ac:dyDescent="0.25">
      <c r="A157" s="545" t="s">
        <v>231</v>
      </c>
      <c r="B157" s="547"/>
      <c r="C157" s="548"/>
      <c r="D157" s="534" t="str">
        <f>IF(B157="","",VLOOKUP(B157,素材データ!$A$5:$AA$384,2,FALSE))</f>
        <v/>
      </c>
      <c r="E157" s="534" t="str">
        <f>IF(B157="","",VLOOKUP(B157,素材データ!$A$5:$AA$384,4,FALSE))</f>
        <v/>
      </c>
      <c r="F157" s="523"/>
      <c r="G157" s="525">
        <f>IF(D157="",0,IF(D157=0,VLOOKUP(B157,素材データ!$A$5:$AA$364,9,FALSE),IF(D157=0,0,F157/D157/1000)))</f>
        <v>0</v>
      </c>
      <c r="H157" s="532">
        <f>IF(E157="",0,IF(E157=0,VLOOKUP(B157,素材データ!$A$5:$AA$364,11,FALSE),E157*F157/1000))</f>
        <v>0</v>
      </c>
      <c r="I157" s="531"/>
      <c r="J157" s="520"/>
      <c r="K157" s="519"/>
      <c r="L157" s="504"/>
      <c r="M157" s="495"/>
      <c r="N157" s="494"/>
      <c r="O157" s="496"/>
      <c r="P157" s="496"/>
      <c r="Q157" s="496"/>
    </row>
    <row r="158" spans="1:32" ht="12" customHeight="1" x14ac:dyDescent="0.25">
      <c r="A158" s="546"/>
      <c r="B158" s="549"/>
      <c r="C158" s="550"/>
      <c r="D158" s="535"/>
      <c r="E158" s="535"/>
      <c r="F158" s="524"/>
      <c r="G158" s="526"/>
      <c r="H158" s="533"/>
      <c r="I158" s="531">
        <f>J135-(J135-N135)*(G140+G141+G143+G145+G147+G149+G151+G153+G155+G157)/F166</f>
        <v>9.3000000000000007</v>
      </c>
      <c r="J158" s="520">
        <f>237.3/((7.5/LOG10(L158/611))-1)</f>
        <v>7.1525963981427259</v>
      </c>
      <c r="K158" s="519">
        <f>EXP(-6096.938/(I158+273.15)+21.2409642-2.711193*10^-2*(I158+273.15)+1.673952*10^-5*(I158+273.15)^2+2.433502*LN((I158+273.15)))</f>
        <v>1171.7052017269605</v>
      </c>
      <c r="L158" s="504">
        <f>J137-(J137-N137)*(H140+H141+H143+H145+H147+H149+H151+H153+H155+H157)/F171</f>
        <v>1012.7180581886462</v>
      </c>
      <c r="M158" s="495" t="str">
        <f>IF(L158/K158&lt;1,"○","×")</f>
        <v>○</v>
      </c>
      <c r="N158" s="494">
        <f>IF(L158/K158&gt;1,1,L158/K158)</f>
        <v>0.86431131029888297</v>
      </c>
      <c r="O158" s="496">
        <f>EXP(1.32774+7.80136*10^-2*I158-2.87894*10^-4*I158^2+1.36152*10^-6*I158^3+3.49024*10^-9*I158^4-4.87306*10^-3*ABS(I158))</f>
        <v>7.2729961141877615</v>
      </c>
      <c r="P158" s="497">
        <f t="shared" ref="P158" si="92">O158*N158</f>
        <v>6.2861328012523083</v>
      </c>
      <c r="Q158" s="497">
        <f t="shared" ref="Q158" si="93">1.005*I158+(O158/1000)*(2501.1+1.846*I158)</f>
        <v>27.661851923884161</v>
      </c>
    </row>
    <row r="159" spans="1:32" ht="12" customHeight="1" x14ac:dyDescent="0.25">
      <c r="A159" s="545" t="s">
        <v>585</v>
      </c>
      <c r="B159" s="547"/>
      <c r="C159" s="548"/>
      <c r="D159" s="534" t="str">
        <f>IF(B159="","",VLOOKUP(B159,素材データ!$A$5:$AA$384,2,FALSE))</f>
        <v/>
      </c>
      <c r="E159" s="534" t="str">
        <f>IF(B159="","",VLOOKUP(B159,素材データ!$A$5:$AA$384,4,FALSE))</f>
        <v/>
      </c>
      <c r="F159" s="523"/>
      <c r="G159" s="525">
        <f>IF(D159="",0,IF(D159=0,VLOOKUP(B159,素材データ!$A$5:$AA$364,9,FALSE),IF(D159=0,0,F159/D159/1000)))</f>
        <v>0</v>
      </c>
      <c r="H159" s="532">
        <f>IF(E159="",0,IF(E159=0,VLOOKUP(B159,素材データ!$A$5:$AA$364,11,FALSE),E159*F159/1000))</f>
        <v>0</v>
      </c>
      <c r="I159" s="531"/>
      <c r="J159" s="520"/>
      <c r="K159" s="519"/>
      <c r="L159" s="504"/>
      <c r="M159" s="495"/>
      <c r="N159" s="494"/>
      <c r="O159" s="496"/>
      <c r="P159" s="496"/>
      <c r="Q159" s="496"/>
    </row>
    <row r="160" spans="1:32" ht="12" customHeight="1" x14ac:dyDescent="0.25">
      <c r="A160" s="546"/>
      <c r="B160" s="549"/>
      <c r="C160" s="550"/>
      <c r="D160" s="535"/>
      <c r="E160" s="535"/>
      <c r="F160" s="524"/>
      <c r="G160" s="526"/>
      <c r="H160" s="533"/>
      <c r="I160" s="531">
        <f>J135-(J135-N135)*(G140+G141+G143+G145+G147+G149+G151+G153+G155+G157+G159)/F166</f>
        <v>9.3000000000000007</v>
      </c>
      <c r="J160" s="520">
        <f>237.3/((7.5/LOG10(L160/611))-1)</f>
        <v>7.1525963981427259</v>
      </c>
      <c r="K160" s="519">
        <f>EXP(-6096.938/(I160+273.15)+21.2409642-2.711193*10^-2*(I160+273.15)+1.673952*10^-5*(I160+273.15)^2+2.433502*LN((I160+273.15)))</f>
        <v>1171.7052017269605</v>
      </c>
      <c r="L160" s="504">
        <f>J137-(J137-N137)*(H140+H141+H143+H145+H147+H149+H151+H153+H155+H157+H159)/F171</f>
        <v>1012.7180581886462</v>
      </c>
      <c r="M160" s="495" t="str">
        <f>IF(L160/K160&lt;1,"○","×")</f>
        <v>○</v>
      </c>
      <c r="N160" s="494">
        <f>IF(L160/K160&gt;1,1,L160/K160)</f>
        <v>0.86431131029888297</v>
      </c>
      <c r="O160" s="496">
        <f>EXP(1.32774+7.80136*10^-2*I160-2.87894*10^-4*I160^2+1.36152*10^-6*I160^3+3.49024*10^-9*I160^4-4.87306*10^-3*ABS(I160))</f>
        <v>7.2729961141877615</v>
      </c>
      <c r="P160" s="497">
        <f t="shared" ref="P160" si="94">O160*N160</f>
        <v>6.2861328012523083</v>
      </c>
      <c r="Q160" s="497">
        <f t="shared" ref="Q160" si="95">1.005*I160+(O160/1000)*(2501.1+1.846*I160)</f>
        <v>27.661851923884161</v>
      </c>
    </row>
    <row r="161" spans="1:26" ht="12" customHeight="1" x14ac:dyDescent="0.25">
      <c r="A161" s="545" t="s">
        <v>586</v>
      </c>
      <c r="B161" s="547"/>
      <c r="C161" s="548"/>
      <c r="D161" s="534" t="str">
        <f>IF(B161="","",VLOOKUP(B161,素材データ!$A$5:$AA$384,2,FALSE))</f>
        <v/>
      </c>
      <c r="E161" s="534" t="str">
        <f>IF(B161="","",VLOOKUP(B161,素材データ!$A$5:$AA$384,4,FALSE))</f>
        <v/>
      </c>
      <c r="F161" s="523"/>
      <c r="G161" s="525">
        <f>IF(D161="",0,IF(D161=0,VLOOKUP(B161,素材データ!$A$5:$AA$364,9,FALSE),IF(D161=0,0,F161/D161/1000)))</f>
        <v>0</v>
      </c>
      <c r="H161" s="532">
        <f>IF(E161="",0,IF(E161=0,VLOOKUP(B161,素材データ!$A$5:$AA$364,11,FALSE),E161*F161/1000))</f>
        <v>0</v>
      </c>
      <c r="I161" s="531"/>
      <c r="J161" s="520"/>
      <c r="K161" s="519"/>
      <c r="L161" s="504"/>
      <c r="M161" s="495"/>
      <c r="N161" s="494"/>
      <c r="O161" s="496"/>
      <c r="P161" s="496"/>
      <c r="Q161" s="496"/>
      <c r="R161" s="46"/>
      <c r="S161" s="16"/>
      <c r="T161" s="31"/>
      <c r="U161" s="31"/>
      <c r="W161" s="16"/>
      <c r="X161" s="31"/>
      <c r="Y161" s="31"/>
    </row>
    <row r="162" spans="1:26" ht="12" customHeight="1" x14ac:dyDescent="0.25">
      <c r="A162" s="546"/>
      <c r="B162" s="549"/>
      <c r="C162" s="550"/>
      <c r="D162" s="535"/>
      <c r="E162" s="535"/>
      <c r="F162" s="524"/>
      <c r="G162" s="526"/>
      <c r="H162" s="533"/>
      <c r="I162" s="531">
        <f>J135-(J135-N135)*(G140+G141+G143+G145+G147+G149+G151+G153+G155+G157+G159+G161)/F166</f>
        <v>9.3000000000000007</v>
      </c>
      <c r="J162" s="520">
        <f>237.3/((7.5/LOG10(L162/611))-1)</f>
        <v>7.1525963981427259</v>
      </c>
      <c r="K162" s="519">
        <f>EXP(-6096.938/(I162+273.15)+21.2409642-2.711193*10^-2*(I162+273.15)+1.673952*10^-5*(I162+273.15)^2+2.433502*LN((I162+273.15)))</f>
        <v>1171.7052017269605</v>
      </c>
      <c r="L162" s="504">
        <f>J137-(J137-N137)*(H140+H141+H143+H145+H147+H149+H151+H153+H155+H157+H159+H161)/F171</f>
        <v>1012.7180581886462</v>
      </c>
      <c r="M162" s="495" t="str">
        <f>IF(L162/K162&lt;1,"○","×")</f>
        <v>○</v>
      </c>
      <c r="N162" s="494">
        <f>IF(L162/K162&gt;1,1,L162/K162)</f>
        <v>0.86431131029888297</v>
      </c>
      <c r="O162" s="496">
        <f>EXP(1.32774+7.80136*10^-2*I162-2.87894*10^-4*I162^2+1.36152*10^-6*I162^3+3.49024*10^-9*I162^4-4.87306*10^-3*ABS(I162))</f>
        <v>7.2729961141877615</v>
      </c>
      <c r="P162" s="497">
        <f t="shared" ref="P162" si="96">O162*N162</f>
        <v>6.2861328012523083</v>
      </c>
      <c r="Q162" s="497">
        <f t="shared" ref="Q162" si="97">1.005*I162+(O162/1000)*(2501.1+1.846*I162)</f>
        <v>27.661851923884161</v>
      </c>
      <c r="R162" s="46"/>
      <c r="S162" s="16"/>
      <c r="T162" s="31"/>
      <c r="U162" s="31"/>
      <c r="W162" s="16"/>
      <c r="X162" s="31"/>
      <c r="Y162" s="31"/>
    </row>
    <row r="163" spans="1:26" ht="12" customHeight="1" x14ac:dyDescent="0.25">
      <c r="A163" s="545" t="s">
        <v>587</v>
      </c>
      <c r="B163" s="547"/>
      <c r="C163" s="548"/>
      <c r="D163" s="534" t="str">
        <f>IF(B163="","",VLOOKUP(B163,素材データ!$A$5:$AA$384,2,FALSE))</f>
        <v/>
      </c>
      <c r="E163" s="534" t="str">
        <f>IF(B163="","",VLOOKUP(B163,素材データ!$A$5:$AA$384,4,FALSE))</f>
        <v/>
      </c>
      <c r="F163" s="523"/>
      <c r="G163" s="525">
        <f>IF(D163="",0,IF(D163=0,VLOOKUP(B163,素材データ!$A$5:$AA$364,9,FALSE),IF(D163=0,0,F163/D163/1000)))</f>
        <v>0</v>
      </c>
      <c r="H163" s="532">
        <f>IF(E163="",0,IF(E163=0,VLOOKUP(B163,素材データ!$A$5:$AA$364,11,FALSE),E163*F163/1000))</f>
        <v>0</v>
      </c>
      <c r="I163" s="531"/>
      <c r="J163" s="520"/>
      <c r="K163" s="519"/>
      <c r="L163" s="504"/>
      <c r="M163" s="495"/>
      <c r="N163" s="494"/>
      <c r="O163" s="496"/>
      <c r="P163" s="496"/>
      <c r="Q163" s="496"/>
      <c r="R163" s="47"/>
      <c r="S163" s="16"/>
      <c r="T163" s="31"/>
      <c r="U163" s="31"/>
      <c r="W163" s="16"/>
      <c r="X163" s="31"/>
      <c r="Y163" s="31"/>
    </row>
    <row r="164" spans="1:26" ht="12" customHeight="1" x14ac:dyDescent="0.25">
      <c r="A164" s="546"/>
      <c r="B164" s="549"/>
      <c r="C164" s="550"/>
      <c r="D164" s="535"/>
      <c r="E164" s="535"/>
      <c r="F164" s="524"/>
      <c r="G164" s="526"/>
      <c r="H164" s="533"/>
      <c r="I164" s="531">
        <f>J135-(J135-N135)*(G140+G141+G143+G145+G147+G149+G151+G153+G155+G157+G159+G161+G163)/F166</f>
        <v>9.3000000000000007</v>
      </c>
      <c r="J164" s="520">
        <f>237.3/((7.5/LOG10(L164/611))-1)</f>
        <v>7.1525963981427259</v>
      </c>
      <c r="K164" s="519">
        <f>EXP(-6096.938/(I164+273.15)+21.2409642-2.711193*10^-2*(I164+273.15)+1.673952*10^-5*(I164+273.15)^2+2.433502*LN((I164+273.15)))</f>
        <v>1171.7052017269605</v>
      </c>
      <c r="L164" s="504">
        <f>J137-(J137-N137)*(H140+H141+H143+H145+H147+H149+H151+H153+H155+H157+H159+H161+H163)/F171</f>
        <v>1012.7180581886462</v>
      </c>
      <c r="M164" s="495" t="str">
        <f>IF(L164/K164&lt;1,"○","×")</f>
        <v>○</v>
      </c>
      <c r="N164" s="494">
        <f>IF(L164/K164&gt;1,1,L164/K164)</f>
        <v>0.86431131029888297</v>
      </c>
      <c r="O164" s="496">
        <f>EXP(1.32774+7.80136*10^-2*I164-2.87894*10^-4*I164^2+1.36152*10^-6*I164^3+3.49024*10^-9*I164^4-4.87306*10^-3*ABS(I164))</f>
        <v>7.2729961141877615</v>
      </c>
      <c r="P164" s="497">
        <f t="shared" ref="P164" si="98">O164*N164</f>
        <v>6.2861328012523083</v>
      </c>
      <c r="Q164" s="497">
        <f t="shared" ref="Q164" si="99">1.005*I164+(O164/1000)*(2501.1+1.846*I164)</f>
        <v>27.661851923884161</v>
      </c>
      <c r="R164" s="47"/>
      <c r="S164" s="16"/>
      <c r="T164" s="31"/>
      <c r="U164" s="31"/>
      <c r="W164" s="16"/>
      <c r="X164" s="31"/>
      <c r="Y164" s="31"/>
    </row>
    <row r="165" spans="1:26" ht="12" customHeight="1" x14ac:dyDescent="0.25">
      <c r="A165" s="454" t="s">
        <v>187</v>
      </c>
      <c r="B165" s="579" t="s">
        <v>5</v>
      </c>
      <c r="C165" s="580"/>
      <c r="D165" s="485" t="str">
        <f>F136</f>
        <v>外壁</v>
      </c>
      <c r="E165" s="570" t="s">
        <v>298</v>
      </c>
      <c r="F165" s="571"/>
      <c r="G165" s="486">
        <f>IF(AND(F136="外壁",E165="通気層工法(18mm以上)"),0.11,IF(AND(F136="外壁",E165="通気層工法(9mm以上)"),0.11,IF(AND(F136="外壁",E165="通気層なし"),0.04,IF(AND(F136="屋根",E165="通気層工法(18mm以上)"),0.09,IF(AND(F136="屋根",E165="通気層工法(9mm以上)"),0.09,IF(AND(F136="屋根",E165="通気層なし"),0.04,IF(F136="天井",0.09,IF(F136="床",0.15,0.11))))))))</f>
        <v>0.11</v>
      </c>
      <c r="H165" s="487">
        <f>IF(AND(F136="外壁",E165="通気層工法(18mm以上)"),1.8,IF(AND(F136="外壁",E165="通気層工法(9mm以上)"),3.6,IF(AND(F136="外壁",E165="通気層なし"),0.014,IF(AND(F136="屋根",E165="通気層工法(18mm以上)"),3.6,IF(AND(F136="屋根",E165="通気層工法(9mm以上)"),5.4,IF(AND(F136="屋根",E165="通気層なし"),0.014,IF(F136="天井",0.042,IF(F136="床",0.042,0.014))))))))*3600*10^-9/760*1.013*10^5</f>
        <v>8.6371578947368427E-4</v>
      </c>
      <c r="I165" s="581"/>
      <c r="J165" s="521"/>
      <c r="K165" s="522"/>
      <c r="L165" s="509"/>
      <c r="M165" s="508"/>
      <c r="N165" s="511"/>
      <c r="O165" s="510"/>
      <c r="P165" s="510"/>
      <c r="Q165" s="510"/>
      <c r="R165" s="50"/>
      <c r="S165" s="16"/>
      <c r="T165" s="16"/>
      <c r="W165" s="16"/>
      <c r="X165" s="16"/>
    </row>
    <row r="166" spans="1:26" ht="15" customHeight="1" x14ac:dyDescent="0.25">
      <c r="A166" s="572" t="s">
        <v>7</v>
      </c>
      <c r="B166" s="569"/>
      <c r="C166" s="569"/>
      <c r="D166" s="459"/>
      <c r="E166" s="460"/>
      <c r="F166" s="575">
        <f>SUM(G140:G165)</f>
        <v>0.22</v>
      </c>
      <c r="G166" s="576"/>
      <c r="H166" s="63"/>
      <c r="M166" s="62"/>
      <c r="N166" s="62"/>
      <c r="O166" s="64"/>
      <c r="P166" s="62"/>
      <c r="Q166" s="62"/>
      <c r="R166" s="50"/>
      <c r="T166" s="31"/>
      <c r="U166" s="31"/>
      <c r="V166" s="13"/>
      <c r="X166" s="31"/>
      <c r="Y166" s="31"/>
      <c r="Z166" s="13"/>
    </row>
    <row r="167" spans="1:26" ht="15" customHeight="1" x14ac:dyDescent="0.25">
      <c r="A167" s="573"/>
      <c r="B167" s="574"/>
      <c r="C167" s="574"/>
      <c r="D167" s="463"/>
      <c r="E167" s="464" t="s">
        <v>717</v>
      </c>
      <c r="F167" s="577"/>
      <c r="G167" s="578"/>
      <c r="H167" s="63"/>
      <c r="M167" s="62"/>
      <c r="N167" s="62"/>
      <c r="O167" s="64"/>
      <c r="P167" s="62"/>
      <c r="Q167" s="62"/>
      <c r="R167" s="46"/>
      <c r="T167" s="16"/>
      <c r="U167" s="31"/>
      <c r="V167" s="13"/>
      <c r="X167" s="16"/>
      <c r="Y167" s="31"/>
      <c r="Z167" s="13"/>
    </row>
    <row r="168" spans="1:26" ht="15" customHeight="1" x14ac:dyDescent="0.25">
      <c r="A168" s="568" t="s">
        <v>10</v>
      </c>
      <c r="B168" s="569"/>
      <c r="C168" s="569"/>
      <c r="D168" s="459"/>
      <c r="E168" s="474"/>
      <c r="F168" s="562">
        <f>1/F166</f>
        <v>4.5454545454545459</v>
      </c>
      <c r="G168" s="563"/>
      <c r="H168" s="65"/>
      <c r="I168" s="483"/>
      <c r="J168" s="483"/>
      <c r="K168" s="484"/>
      <c r="L168" s="484"/>
      <c r="M168" s="62"/>
      <c r="N168" s="62"/>
      <c r="O168" s="66"/>
      <c r="P168" s="12" t="s">
        <v>571</v>
      </c>
      <c r="Q168" s="67">
        <f>IF(F136="外壁",5,6)</f>
        <v>5</v>
      </c>
      <c r="S168" s="16"/>
      <c r="T168" s="31"/>
      <c r="U168" s="31"/>
      <c r="V168" s="13"/>
      <c r="W168" s="16"/>
      <c r="X168" s="31"/>
      <c r="Y168" s="31"/>
      <c r="Z168" s="13"/>
    </row>
    <row r="169" spans="1:26" ht="15" customHeight="1" x14ac:dyDescent="0.25">
      <c r="A169" s="568"/>
      <c r="B169" s="569"/>
      <c r="C169" s="569"/>
      <c r="D169" s="459"/>
      <c r="E169" s="461" t="s">
        <v>716</v>
      </c>
      <c r="F169" s="562"/>
      <c r="G169" s="563"/>
      <c r="H169" s="65"/>
      <c r="I169" s="483"/>
      <c r="J169" s="483"/>
      <c r="K169" s="484"/>
      <c r="L169" s="484"/>
      <c r="M169" s="62"/>
      <c r="N169" s="62"/>
      <c r="O169" s="66"/>
      <c r="P169" s="12" t="s">
        <v>572</v>
      </c>
      <c r="Q169" s="68">
        <f>IF(F136="外壁",5,6)</f>
        <v>5</v>
      </c>
      <c r="S169" s="16"/>
      <c r="T169" s="31"/>
      <c r="U169" s="31"/>
      <c r="V169" s="13"/>
      <c r="W169" s="16"/>
      <c r="X169" s="31"/>
      <c r="Y169" s="31"/>
      <c r="Z169" s="13"/>
    </row>
    <row r="170" spans="1:26" ht="15" customHeight="1" x14ac:dyDescent="0.25">
      <c r="A170" s="492" t="s">
        <v>303</v>
      </c>
      <c r="B170" s="490">
        <f>IF(J135&gt;N135,J135-N135,N135-J135)</f>
        <v>11.4</v>
      </c>
      <c r="C170" s="465" t="s">
        <v>707</v>
      </c>
      <c r="D170" s="489">
        <f>F168*B170*3600/1000</f>
        <v>186.54545454545459</v>
      </c>
      <c r="E170" s="466" t="s">
        <v>713</v>
      </c>
      <c r="F170" s="489">
        <f>D170*24</f>
        <v>4477.0909090909099</v>
      </c>
      <c r="G170" s="467" t="s">
        <v>714</v>
      </c>
      <c r="H170" s="65"/>
      <c r="I170" s="483"/>
      <c r="J170" s="483"/>
      <c r="K170" s="484"/>
      <c r="L170" s="484"/>
      <c r="M170" s="62"/>
      <c r="N170" s="62"/>
      <c r="O170" s="66"/>
      <c r="P170" s="12" t="s">
        <v>573</v>
      </c>
      <c r="Q170" s="68">
        <f>IF(F136="外壁",5,6)</f>
        <v>5</v>
      </c>
    </row>
    <row r="171" spans="1:26" ht="15" customHeight="1" x14ac:dyDescent="0.25">
      <c r="A171" s="572" t="s">
        <v>709</v>
      </c>
      <c r="B171" s="583"/>
      <c r="C171" s="583"/>
      <c r="D171" s="471"/>
      <c r="E171" s="472"/>
      <c r="F171" s="584">
        <f>SUM(H140:H165)</f>
        <v>8.8386915789473691E-4</v>
      </c>
      <c r="G171" s="585"/>
      <c r="H171" s="65"/>
      <c r="I171" s="483"/>
      <c r="J171" s="483"/>
      <c r="K171" s="484"/>
      <c r="L171" s="484"/>
      <c r="M171" s="62"/>
      <c r="N171" s="62"/>
      <c r="O171" s="66"/>
      <c r="P171" s="12" t="s">
        <v>574</v>
      </c>
      <c r="Q171" s="68">
        <f>IF(F136="外壁",3,4)</f>
        <v>3</v>
      </c>
      <c r="V171" s="13"/>
      <c r="Z171" s="13"/>
    </row>
    <row r="172" spans="1:26" ht="15" customHeight="1" x14ac:dyDescent="0.25">
      <c r="A172" s="573"/>
      <c r="B172" s="574"/>
      <c r="C172" s="574"/>
      <c r="D172" s="463"/>
      <c r="E172" s="464"/>
      <c r="F172" s="586"/>
      <c r="G172" s="587"/>
      <c r="H172" s="65"/>
      <c r="I172" s="483"/>
      <c r="J172" s="483"/>
      <c r="K172" s="484"/>
      <c r="L172" s="484"/>
      <c r="M172" s="62"/>
      <c r="N172" s="62"/>
      <c r="O172" s="66"/>
      <c r="P172" s="12" t="s">
        <v>575</v>
      </c>
      <c r="Q172" s="68">
        <f>IF(F136="外壁",2,3)</f>
        <v>2</v>
      </c>
      <c r="S172" s="16"/>
      <c r="T172" s="502"/>
      <c r="U172" s="502"/>
      <c r="V172" s="13"/>
      <c r="W172" s="16"/>
      <c r="X172" s="502"/>
      <c r="Y172" s="502"/>
      <c r="Z172" s="13"/>
    </row>
    <row r="173" spans="1:26" ht="15" customHeight="1" x14ac:dyDescent="0.25">
      <c r="A173" s="568" t="s">
        <v>710</v>
      </c>
      <c r="B173" s="569"/>
      <c r="C173" s="569"/>
      <c r="D173" s="459"/>
      <c r="E173" s="460"/>
      <c r="F173" s="589">
        <f>1/F171</f>
        <v>1131.3891779885971</v>
      </c>
      <c r="G173" s="590"/>
      <c r="H173" s="65"/>
      <c r="I173" s="483"/>
      <c r="J173" s="483"/>
      <c r="K173" s="484"/>
      <c r="L173" s="484"/>
      <c r="M173" s="62"/>
      <c r="N173" s="62"/>
      <c r="O173" s="66"/>
      <c r="P173" s="12" t="s">
        <v>576</v>
      </c>
      <c r="Q173" s="68">
        <f>IF(F136="外壁",2,3)</f>
        <v>2</v>
      </c>
      <c r="Z173" s="13"/>
    </row>
    <row r="174" spans="1:26" ht="15" customHeight="1" x14ac:dyDescent="0.25">
      <c r="A174" s="568"/>
      <c r="B174" s="569"/>
      <c r="C174" s="569"/>
      <c r="D174" s="462"/>
      <c r="E174" s="461"/>
      <c r="F174" s="589"/>
      <c r="G174" s="590"/>
      <c r="H174" s="65"/>
      <c r="I174" s="483"/>
      <c r="J174" s="483"/>
      <c r="K174" s="484"/>
      <c r="L174" s="484"/>
      <c r="M174" s="62"/>
      <c r="N174" s="62"/>
      <c r="O174" s="66"/>
      <c r="P174" s="12" t="s">
        <v>577</v>
      </c>
      <c r="Q174" s="68">
        <f>IF(F136="外壁",2,3)</f>
        <v>2</v>
      </c>
      <c r="Z174" s="13"/>
    </row>
    <row r="175" spans="1:26" ht="15" customHeight="1" x14ac:dyDescent="0.25">
      <c r="A175" s="96" t="s">
        <v>711</v>
      </c>
      <c r="B175" s="491">
        <f>IF(J137&gt;N137,J137-N137,N137-J137)</f>
        <v>469.78525078023483</v>
      </c>
      <c r="C175" s="473" t="s">
        <v>708</v>
      </c>
      <c r="D175" s="488">
        <f>F173*B175*3600*10^-9</f>
        <v>1.9134358153611006</v>
      </c>
      <c r="E175" s="98" t="s">
        <v>712</v>
      </c>
      <c r="F175" s="488">
        <f>D175*24</f>
        <v>45.922459568666412</v>
      </c>
      <c r="G175" s="99" t="s">
        <v>715</v>
      </c>
      <c r="H175" s="65"/>
      <c r="I175" s="483"/>
      <c r="J175" s="483"/>
      <c r="K175" s="484"/>
      <c r="L175" s="484"/>
      <c r="M175" s="62"/>
      <c r="N175" s="62"/>
      <c r="O175" s="66"/>
      <c r="P175" s="12" t="s">
        <v>578</v>
      </c>
      <c r="Q175" s="72" t="s">
        <v>9</v>
      </c>
      <c r="Z175" s="13"/>
    </row>
    <row r="176" spans="1:26" ht="15" customHeight="1" x14ac:dyDescent="0.25">
      <c r="A176" s="591" t="s">
        <v>102</v>
      </c>
      <c r="B176" s="592"/>
      <c r="C176" s="468" t="s">
        <v>103</v>
      </c>
      <c r="D176" s="469">
        <f>$T$22</f>
        <v>15</v>
      </c>
      <c r="E176" s="470" t="s">
        <v>104</v>
      </c>
      <c r="F176" s="469">
        <f>$D$264-($J135-$D177)*G140/$F166</f>
        <v>6</v>
      </c>
      <c r="G176" s="595" t="str">
        <f>IF(F177&lt;F176,"○","×")</f>
        <v>×</v>
      </c>
      <c r="H176" s="63"/>
      <c r="M176" s="75"/>
      <c r="N176" s="75"/>
      <c r="O176" s="76"/>
      <c r="P176" s="75"/>
      <c r="Q176" s="75"/>
      <c r="Z176" s="13"/>
    </row>
    <row r="177" spans="1:32" ht="15" customHeight="1" x14ac:dyDescent="0.25">
      <c r="A177" s="593"/>
      <c r="B177" s="594"/>
      <c r="C177" s="455" t="s">
        <v>55</v>
      </c>
      <c r="D177" s="456">
        <f>VLOOKUP(E136,$S$23:$U$30,2,FALSE)</f>
        <v>-3</v>
      </c>
      <c r="E177" s="457" t="s">
        <v>16</v>
      </c>
      <c r="F177" s="458">
        <f>237.3/((7.5/LOG10(((6.11*10^(7.5*$T$22/($T$22+237.3))*$U$22/100)-((6.11*10^(7.5*$T$22/($T$22+237.3))*$U$22/100)-(6.11*10^(7.5*$D177/($D177+237.3))*$N136/100))*H140/F171)/6.11))-1)</f>
        <v>7.0843168861848973</v>
      </c>
      <c r="G177" s="596"/>
      <c r="H177" s="52"/>
      <c r="I177" s="77"/>
      <c r="J177" s="77"/>
      <c r="K177" s="77"/>
      <c r="L177" s="77"/>
      <c r="M177" s="78"/>
      <c r="N177" s="78"/>
      <c r="O177" s="79"/>
      <c r="P177" s="75"/>
      <c r="Q177" s="75"/>
      <c r="S177" s="16"/>
      <c r="T177" s="502"/>
      <c r="U177" s="502"/>
      <c r="V177" s="13"/>
      <c r="W177" s="16"/>
      <c r="X177" s="502"/>
      <c r="Y177" s="502"/>
      <c r="Z177" s="13"/>
    </row>
    <row r="178" spans="1:32" ht="12.75" customHeight="1" x14ac:dyDescent="0.25">
      <c r="A178" s="2"/>
      <c r="B178" s="2"/>
      <c r="C178" s="2"/>
      <c r="D178" s="2"/>
      <c r="E178" s="2"/>
      <c r="F178" s="2"/>
      <c r="G178" s="2"/>
      <c r="H178" s="2"/>
      <c r="I178" s="93"/>
      <c r="J178" s="93"/>
      <c r="K178" s="94"/>
      <c r="L178" s="94"/>
      <c r="M178" s="82"/>
      <c r="N178" s="82"/>
      <c r="O178" s="82"/>
      <c r="P178" s="82"/>
      <c r="Q178" s="82"/>
    </row>
    <row r="179" spans="1:32" ht="12" customHeight="1" x14ac:dyDescent="0.25">
      <c r="A179" s="505" t="s">
        <v>188</v>
      </c>
      <c r="B179" s="551" t="s">
        <v>189</v>
      </c>
      <c r="C179" s="552"/>
      <c r="D179" s="553"/>
      <c r="E179" s="476" t="s">
        <v>276</v>
      </c>
      <c r="F179" s="477" t="s">
        <v>111</v>
      </c>
      <c r="G179" s="478" t="s">
        <v>190</v>
      </c>
      <c r="H179" s="505" t="s">
        <v>191</v>
      </c>
      <c r="I179" s="479" t="s">
        <v>192</v>
      </c>
      <c r="J179" s="517">
        <f>IF(G180="冬型結露",$T$3,26)</f>
        <v>15</v>
      </c>
      <c r="K179" s="518"/>
      <c r="L179" s="505" t="s">
        <v>193</v>
      </c>
      <c r="M179" s="479" t="s">
        <v>192</v>
      </c>
      <c r="N179" s="517">
        <f>IF(G180="夏型結露",VLOOKUP(F180,$S$16:$U$19,2,FALSE),VLOOKUP(E180,$S$5:$U$12,2,FALSE))</f>
        <v>3.6</v>
      </c>
      <c r="O179" s="518"/>
      <c r="P179" s="19"/>
      <c r="Q179" s="19"/>
      <c r="R179" s="16"/>
      <c r="AB179" s="16" t="s">
        <v>73</v>
      </c>
      <c r="AC179" s="16" t="s">
        <v>194</v>
      </c>
      <c r="AD179" s="16" t="s">
        <v>195</v>
      </c>
      <c r="AE179" s="16" t="s">
        <v>196</v>
      </c>
      <c r="AF179" s="16" t="s">
        <v>197</v>
      </c>
    </row>
    <row r="180" spans="1:32" ht="12" customHeight="1" x14ac:dyDescent="0.25">
      <c r="A180" s="506"/>
      <c r="B180" s="554"/>
      <c r="C180" s="555"/>
      <c r="D180" s="556"/>
      <c r="E180" s="536" t="s">
        <v>38</v>
      </c>
      <c r="F180" s="527" t="s">
        <v>53</v>
      </c>
      <c r="G180" s="538" t="s">
        <v>52</v>
      </c>
      <c r="H180" s="506"/>
      <c r="I180" s="21" t="s">
        <v>198</v>
      </c>
      <c r="J180" s="515">
        <f>IF(G180="冬型結露",$U$3,60)</f>
        <v>60</v>
      </c>
      <c r="K180" s="516"/>
      <c r="L180" s="506"/>
      <c r="M180" s="21" t="s">
        <v>198</v>
      </c>
      <c r="N180" s="515">
        <f>IF(G180="夏型結露",VLOOKUP(F180,$S$16:$U$19,3,FALSE),VLOOKUP(E180,$S$5:$U$12,3,FALSE))</f>
        <v>70</v>
      </c>
      <c r="O180" s="516"/>
      <c r="P180" s="22"/>
      <c r="Q180" s="22"/>
      <c r="R180" s="16"/>
      <c r="S180" s="56"/>
      <c r="U180" s="13"/>
      <c r="W180" s="56"/>
      <c r="Y180" s="13"/>
      <c r="AD180" s="26">
        <v>0</v>
      </c>
      <c r="AE180" s="26">
        <f>J179</f>
        <v>15</v>
      </c>
      <c r="AF180" s="26">
        <f>237.3/((7.5/LOG10(J181/611))-1)</f>
        <v>7.3061185391618908</v>
      </c>
    </row>
    <row r="181" spans="1:32" ht="12" customHeight="1" x14ac:dyDescent="0.25">
      <c r="A181" s="507"/>
      <c r="B181" s="557"/>
      <c r="C181" s="558"/>
      <c r="D181" s="559"/>
      <c r="E181" s="537"/>
      <c r="F181" s="528"/>
      <c r="G181" s="539"/>
      <c r="H181" s="507"/>
      <c r="I181" s="27" t="s">
        <v>201</v>
      </c>
      <c r="J181" s="513">
        <f>EXP(-6096.938/(J179+273.15)+21.2409642-2.711193*10^-2*(J179+273.15)+1.673952*10^-5*(J179+273.15)^2+2.433502*LN((J179+273.15)))*J180/100</f>
        <v>1023.4297740044822</v>
      </c>
      <c r="K181" s="514"/>
      <c r="L181" s="507"/>
      <c r="M181" s="28" t="s">
        <v>201</v>
      </c>
      <c r="N181" s="513">
        <f>EXP(-6096.938/(N179+273.15)+21.2409642-2.711193*10^-2*(N179+273.15)+1.673952*10^-5*(N179+273.15)^2+2.433502*LN((N179+273.15)))*N180/100</f>
        <v>553.64452322424734</v>
      </c>
      <c r="O181" s="514"/>
      <c r="P181" s="29"/>
      <c r="Q181" s="29"/>
      <c r="R181" s="30"/>
      <c r="T181" s="16"/>
      <c r="X181" s="16"/>
      <c r="AD181" s="26">
        <v>47</v>
      </c>
      <c r="AE181" s="26">
        <f>J179</f>
        <v>15</v>
      </c>
      <c r="AF181" s="26">
        <f>237.3/((7.5/LOG10(J181/611))-1)</f>
        <v>7.3061185391618908</v>
      </c>
    </row>
    <row r="182" spans="1:32" ht="12" customHeight="1" x14ac:dyDescent="0.25">
      <c r="A182" s="506" t="s">
        <v>286</v>
      </c>
      <c r="B182" s="564" t="s">
        <v>296</v>
      </c>
      <c r="C182" s="565"/>
      <c r="D182" s="35" t="s">
        <v>293</v>
      </c>
      <c r="E182" s="33" t="s">
        <v>203</v>
      </c>
      <c r="F182" s="36" t="s">
        <v>294</v>
      </c>
      <c r="G182" s="37" t="s">
        <v>295</v>
      </c>
      <c r="H182" s="37" t="s">
        <v>204</v>
      </c>
      <c r="I182" s="34" t="s">
        <v>196</v>
      </c>
      <c r="J182" s="34" t="s">
        <v>197</v>
      </c>
      <c r="K182" s="35" t="s">
        <v>205</v>
      </c>
      <c r="L182" s="36" t="s">
        <v>201</v>
      </c>
      <c r="M182" s="498" t="s">
        <v>206</v>
      </c>
      <c r="N182" s="480" t="s">
        <v>124</v>
      </c>
      <c r="O182" s="480" t="s">
        <v>207</v>
      </c>
      <c r="P182" s="38" t="s">
        <v>568</v>
      </c>
      <c r="Q182" s="38" t="s">
        <v>569</v>
      </c>
      <c r="R182" s="30"/>
      <c r="S182" s="56"/>
      <c r="T182" s="73"/>
      <c r="W182" s="56"/>
      <c r="X182" s="73"/>
      <c r="AB182" s="16" t="s">
        <v>209</v>
      </c>
      <c r="AC182" s="13">
        <v>50</v>
      </c>
      <c r="AD182" s="26">
        <f>AC182</f>
        <v>50</v>
      </c>
      <c r="AE182" s="26">
        <f>I184</f>
        <v>9.3000000000000007</v>
      </c>
      <c r="AF182" s="26">
        <f>J184</f>
        <v>7.1525963981427259</v>
      </c>
    </row>
    <row r="183" spans="1:32" ht="12" customHeight="1" x14ac:dyDescent="0.25">
      <c r="A183" s="507"/>
      <c r="B183" s="566"/>
      <c r="C183" s="567"/>
      <c r="D183" s="42" t="s">
        <v>125</v>
      </c>
      <c r="E183" s="40" t="s">
        <v>210</v>
      </c>
      <c r="F183" s="43" t="s">
        <v>211</v>
      </c>
      <c r="G183" s="44" t="s">
        <v>212</v>
      </c>
      <c r="H183" s="44" t="s">
        <v>213</v>
      </c>
      <c r="I183" s="41" t="s">
        <v>214</v>
      </c>
      <c r="J183" s="41" t="s">
        <v>215</v>
      </c>
      <c r="K183" s="42" t="s">
        <v>216</v>
      </c>
      <c r="L183" s="43" t="s">
        <v>216</v>
      </c>
      <c r="M183" s="499"/>
      <c r="N183" s="44" t="s">
        <v>113</v>
      </c>
      <c r="O183" s="44" t="s">
        <v>217</v>
      </c>
      <c r="P183" s="44" t="s">
        <v>217</v>
      </c>
      <c r="Q183" s="44" t="s">
        <v>570</v>
      </c>
      <c r="R183" s="16"/>
      <c r="S183" s="56"/>
      <c r="T183" s="73"/>
      <c r="V183" s="74"/>
      <c r="W183" s="56"/>
      <c r="X183" s="73"/>
      <c r="Z183" s="74"/>
      <c r="AB183" s="16">
        <v>1</v>
      </c>
      <c r="AC183" s="45">
        <f>F185</f>
        <v>0</v>
      </c>
      <c r="AD183" s="26">
        <f>AC183+AD182</f>
        <v>50</v>
      </c>
      <c r="AE183" s="26">
        <f>I186</f>
        <v>9.3000000000000007</v>
      </c>
      <c r="AF183" s="26">
        <f>J186</f>
        <v>7.1525963981427259</v>
      </c>
    </row>
    <row r="184" spans="1:32" ht="12" customHeight="1" x14ac:dyDescent="0.25">
      <c r="A184" s="475" t="s">
        <v>186</v>
      </c>
      <c r="B184" s="540" t="s">
        <v>218</v>
      </c>
      <c r="C184" s="541"/>
      <c r="D184" s="542" t="str">
        <f>F180</f>
        <v>外壁</v>
      </c>
      <c r="E184" s="543"/>
      <c r="F184" s="544"/>
      <c r="G184" s="481">
        <f>IF(F180="屋根",0.09,IF(F180="外壁",0.11,IF(F180="天井",0.09,0.15)))</f>
        <v>0.11</v>
      </c>
      <c r="H184" s="482">
        <f>IF(F180="屋根",0.042,IF(F180="外壁",0.042,IF(F180="天井",0.042,0.042)))*3600*10^-9/760*1.013*10^5</f>
        <v>2.0153368421052633E-5</v>
      </c>
      <c r="I184" s="560">
        <f>J179-(J179-N179)*G184/F210</f>
        <v>9.3000000000000007</v>
      </c>
      <c r="J184" s="561">
        <f>237.3/((7.5/LOG10(L184/611))-1)</f>
        <v>7.1525963981427259</v>
      </c>
      <c r="K184" s="529">
        <f>EXP(-6096.938/(I184+273.15)+21.2409642-2.711193*10^-2*(I184+273.15)+1.673952*10^-5*(I184+273.15)^2+2.433502*LN((I184+273.15)))</f>
        <v>1171.7052017269605</v>
      </c>
      <c r="L184" s="530">
        <f>J181-(J181-N181)*H184/F215</f>
        <v>1012.7180581886462</v>
      </c>
      <c r="M184" s="512" t="str">
        <f>IF(L184/K184&lt;1,"○","×")</f>
        <v>○</v>
      </c>
      <c r="N184" s="500">
        <f>IF(L184/K184&gt;1,1,L184/K184)</f>
        <v>0.86431131029888297</v>
      </c>
      <c r="O184" s="501">
        <f>EXP(1.32774+7.80136*10^-2*I184-2.87894*10^-4*I184^2+1.36152*10^-6*I184^3+3.49024*10^-9*I184^4-4.87306*10^-3*ABS(I184))</f>
        <v>7.2729961141877615</v>
      </c>
      <c r="P184" s="497">
        <f>O184*N184</f>
        <v>6.2861328012523083</v>
      </c>
      <c r="Q184" s="497">
        <f>1.005*I184+(O184/1000)*(2501.1+1.846*I184)</f>
        <v>27.661851923884161</v>
      </c>
      <c r="R184" s="16"/>
      <c r="S184" s="82"/>
      <c r="T184" s="82"/>
      <c r="U184" s="13"/>
      <c r="V184" s="13"/>
      <c r="W184" s="82"/>
      <c r="X184" s="82"/>
      <c r="Y184" s="13"/>
      <c r="Z184" s="13"/>
      <c r="AB184" s="16">
        <v>2</v>
      </c>
      <c r="AC184" s="45">
        <f>F187</f>
        <v>0</v>
      </c>
      <c r="AD184" s="26">
        <f>AD183+AC184</f>
        <v>50</v>
      </c>
      <c r="AE184" s="26">
        <f>I188</f>
        <v>9.3000000000000007</v>
      </c>
      <c r="AF184" s="26">
        <f>J188</f>
        <v>7.1525963981427259</v>
      </c>
    </row>
    <row r="185" spans="1:32" ht="12" customHeight="1" x14ac:dyDescent="0.25">
      <c r="A185" s="545" t="s">
        <v>119</v>
      </c>
      <c r="B185" s="547"/>
      <c r="C185" s="548"/>
      <c r="D185" s="534" t="str">
        <f>IF(B185="","",VLOOKUP(B185,素材データ!$A$5:$AA$384,2,FALSE))</f>
        <v/>
      </c>
      <c r="E185" s="534" t="str">
        <f>IF(B185="","",VLOOKUP(B185,素材データ!$A$5:$AA$384,4,FALSE))</f>
        <v/>
      </c>
      <c r="F185" s="523"/>
      <c r="G185" s="525">
        <f>IF(D185="",0,IF(D185=0,VLOOKUP(B185,素材データ!$A$5:$AA$364,9,FALSE),IF(D185=0,0,F185/D185/1000)))</f>
        <v>0</v>
      </c>
      <c r="H185" s="532">
        <f>IF(E185="",0,IF(E185=0,VLOOKUP(B185,素材データ!$A$5:$AA$364,11,FALSE),E185*F185/1000))</f>
        <v>0</v>
      </c>
      <c r="I185" s="531"/>
      <c r="J185" s="520"/>
      <c r="K185" s="519"/>
      <c r="L185" s="504"/>
      <c r="M185" s="495"/>
      <c r="N185" s="494"/>
      <c r="O185" s="496"/>
      <c r="P185" s="496"/>
      <c r="Q185" s="496"/>
      <c r="AB185" s="16">
        <v>3</v>
      </c>
      <c r="AC185" s="45">
        <f>F189</f>
        <v>0</v>
      </c>
      <c r="AD185" s="26">
        <f>AD184+AC185</f>
        <v>50</v>
      </c>
      <c r="AE185" s="26">
        <f>I190</f>
        <v>9.3000000000000007</v>
      </c>
      <c r="AF185" s="26">
        <f>J190</f>
        <v>7.1525963981427259</v>
      </c>
    </row>
    <row r="186" spans="1:32" ht="12" customHeight="1" x14ac:dyDescent="0.25">
      <c r="A186" s="546"/>
      <c r="B186" s="549"/>
      <c r="C186" s="550"/>
      <c r="D186" s="535"/>
      <c r="E186" s="535"/>
      <c r="F186" s="524"/>
      <c r="G186" s="526"/>
      <c r="H186" s="533"/>
      <c r="I186" s="531">
        <f>J179-(J179-N179)*(G184+G185)/F210</f>
        <v>9.3000000000000007</v>
      </c>
      <c r="J186" s="520">
        <f>237.3/((7.5/LOG10(L186/611))-1)</f>
        <v>7.1525963981427259</v>
      </c>
      <c r="K186" s="519">
        <f>EXP(-6096.938/(I186+273.15)+21.2409642-2.711193*10^-2*(I186+273.15)+1.673952*10^-5*(I186+273.15)^2+2.433502*LN((I186+273.15)))</f>
        <v>1171.7052017269605</v>
      </c>
      <c r="L186" s="504">
        <f>J181-(J181-N181)*(H184+H185)/F215</f>
        <v>1012.7180581886462</v>
      </c>
      <c r="M186" s="495" t="str">
        <f>IF(L186/K186&lt;1,"○","×")</f>
        <v>○</v>
      </c>
      <c r="N186" s="494">
        <f>IF(L186/K186&gt;1,1,L186/K186)</f>
        <v>0.86431131029888297</v>
      </c>
      <c r="O186" s="496">
        <f>EXP(1.32774+7.80136*10^-2*I186-2.87894*10^-4*I186^2+1.36152*10^-6*I186^3+3.49024*10^-9*I186^4-4.87306*10^-3*ABS(I186))</f>
        <v>7.2729961141877615</v>
      </c>
      <c r="P186" s="497">
        <f t="shared" ref="P186" si="100">O186*N186</f>
        <v>6.2861328012523083</v>
      </c>
      <c r="Q186" s="497">
        <f t="shared" ref="Q186" si="101">1.005*I186+(O186/1000)*(2501.1+1.846*I186)</f>
        <v>27.661851923884161</v>
      </c>
      <c r="AB186" s="16">
        <v>4</v>
      </c>
      <c r="AC186" s="45">
        <f>F191</f>
        <v>0</v>
      </c>
      <c r="AD186" s="26">
        <f t="shared" ref="AD186:AD196" si="102">AD185+AC186</f>
        <v>50</v>
      </c>
      <c r="AE186" s="26">
        <f>I192</f>
        <v>9.3000000000000007</v>
      </c>
      <c r="AF186" s="26">
        <f>J192</f>
        <v>7.1525963981427259</v>
      </c>
    </row>
    <row r="187" spans="1:32" ht="12" customHeight="1" x14ac:dyDescent="0.25">
      <c r="A187" s="545" t="s">
        <v>120</v>
      </c>
      <c r="B187" s="547"/>
      <c r="C187" s="548"/>
      <c r="D187" s="534" t="str">
        <f>IF(B187="","",VLOOKUP(B187,素材データ!$A$5:$AA$384,2,FALSE))</f>
        <v/>
      </c>
      <c r="E187" s="534" t="str">
        <f>IF(B187="","",VLOOKUP(B187,素材データ!$A$5:$AA$384,4,FALSE))</f>
        <v/>
      </c>
      <c r="F187" s="523"/>
      <c r="G187" s="525">
        <f>IF(D187="",0,IF(D187=0,VLOOKUP(B187,素材データ!$A$5:$AA$364,9,FALSE),IF(D187=0,0,F187/D187/1000)))</f>
        <v>0</v>
      </c>
      <c r="H187" s="532">
        <f>IF(E187="",0,IF(E187=0,VLOOKUP(B187,素材データ!$A$5:$AA$364,11,FALSE),E187*F187/1000))</f>
        <v>0</v>
      </c>
      <c r="I187" s="531"/>
      <c r="J187" s="520"/>
      <c r="K187" s="519"/>
      <c r="L187" s="504"/>
      <c r="M187" s="495"/>
      <c r="N187" s="494"/>
      <c r="O187" s="496"/>
      <c r="P187" s="496"/>
      <c r="Q187" s="496"/>
      <c r="AB187" s="16">
        <v>5</v>
      </c>
      <c r="AC187" s="45">
        <f>F193</f>
        <v>0</v>
      </c>
      <c r="AD187" s="26">
        <f t="shared" si="102"/>
        <v>50</v>
      </c>
      <c r="AE187" s="26">
        <f>I194</f>
        <v>9.3000000000000007</v>
      </c>
      <c r="AF187" s="26">
        <f>J194</f>
        <v>7.1525963981427259</v>
      </c>
    </row>
    <row r="188" spans="1:32" ht="12" customHeight="1" x14ac:dyDescent="0.25">
      <c r="A188" s="546"/>
      <c r="B188" s="549"/>
      <c r="C188" s="550"/>
      <c r="D188" s="535"/>
      <c r="E188" s="535"/>
      <c r="F188" s="524"/>
      <c r="G188" s="526"/>
      <c r="H188" s="533"/>
      <c r="I188" s="531">
        <f>J179-(J179-N179)*(G184+G185+G187)/F210</f>
        <v>9.3000000000000007</v>
      </c>
      <c r="J188" s="520">
        <f>237.3/((7.5/LOG10(L188/611))-1)</f>
        <v>7.1525963981427259</v>
      </c>
      <c r="K188" s="519">
        <f>EXP(-6096.938/(I188+273.15)+21.2409642-2.711193*10^-2*(I188+273.15)+1.673952*10^-5*(I188+273.15)^2+2.433502*LN((I188+273.15)))</f>
        <v>1171.7052017269605</v>
      </c>
      <c r="L188" s="504">
        <f>J181-(J181-N181)*(H184+H185+H187)/F215</f>
        <v>1012.7180581886462</v>
      </c>
      <c r="M188" s="495" t="str">
        <f>IF(L188/K188&lt;1,"○","×")</f>
        <v>○</v>
      </c>
      <c r="N188" s="494">
        <f>IF(L188/K188&gt;1,1,L188/K188)</f>
        <v>0.86431131029888297</v>
      </c>
      <c r="O188" s="496">
        <f>EXP(1.32774+7.80136*10^-2*I188-2.87894*10^-4*I188^2+1.36152*10^-6*I188^3+3.49024*10^-9*I188^4-4.87306*10^-3*ABS(I188))</f>
        <v>7.2729961141877615</v>
      </c>
      <c r="P188" s="497">
        <f t="shared" ref="P188" si="103">O188*N188</f>
        <v>6.2861328012523083</v>
      </c>
      <c r="Q188" s="497">
        <f t="shared" ref="Q188" si="104">1.005*I188+(O188/1000)*(2501.1+1.846*I188)</f>
        <v>27.661851923884161</v>
      </c>
      <c r="AB188" s="16">
        <v>6</v>
      </c>
      <c r="AC188" s="45">
        <f>F195</f>
        <v>0</v>
      </c>
      <c r="AD188" s="26">
        <f t="shared" si="102"/>
        <v>50</v>
      </c>
      <c r="AE188" s="26">
        <f>I196</f>
        <v>9.3000000000000007</v>
      </c>
      <c r="AF188" s="26">
        <f>J196</f>
        <v>7.1525963981427259</v>
      </c>
    </row>
    <row r="189" spans="1:32" ht="12" customHeight="1" x14ac:dyDescent="0.25">
      <c r="A189" s="545" t="s">
        <v>121</v>
      </c>
      <c r="B189" s="547"/>
      <c r="C189" s="548"/>
      <c r="D189" s="534" t="str">
        <f>IF(B189="","",VLOOKUP(B189,素材データ!$A$5:$AA$384,2,FALSE))</f>
        <v/>
      </c>
      <c r="E189" s="534" t="str">
        <f>IF(B189="","",VLOOKUP(B189,素材データ!$A$5:$AA$384,4,FALSE))</f>
        <v/>
      </c>
      <c r="F189" s="523"/>
      <c r="G189" s="525">
        <f>IF(D189="",0,IF(D189=0,VLOOKUP(B189,素材データ!$A$5:$AA$364,9,FALSE),IF(D189=0,0,F189/D189/1000)))</f>
        <v>0</v>
      </c>
      <c r="H189" s="532">
        <f>IF(E189="",0,IF(E189=0,VLOOKUP(B189,素材データ!$A$5:$AA$364,11,FALSE),E189*F189/1000))</f>
        <v>0</v>
      </c>
      <c r="I189" s="531"/>
      <c r="J189" s="520"/>
      <c r="K189" s="519"/>
      <c r="L189" s="504"/>
      <c r="M189" s="495"/>
      <c r="N189" s="494"/>
      <c r="O189" s="496"/>
      <c r="P189" s="496"/>
      <c r="Q189" s="496"/>
      <c r="AB189" s="16">
        <v>7</v>
      </c>
      <c r="AC189" s="45">
        <f>F197</f>
        <v>0</v>
      </c>
      <c r="AD189" s="26">
        <f t="shared" si="102"/>
        <v>50</v>
      </c>
      <c r="AE189" s="26">
        <f>I198</f>
        <v>9.3000000000000007</v>
      </c>
      <c r="AF189" s="26">
        <f>J198</f>
        <v>7.1525963981427259</v>
      </c>
    </row>
    <row r="190" spans="1:32" ht="12" customHeight="1" x14ac:dyDescent="0.25">
      <c r="A190" s="546"/>
      <c r="B190" s="549"/>
      <c r="C190" s="550"/>
      <c r="D190" s="535"/>
      <c r="E190" s="535"/>
      <c r="F190" s="524"/>
      <c r="G190" s="526"/>
      <c r="H190" s="533"/>
      <c r="I190" s="531">
        <f>J179-(J179-N179)*(G184+G185+G187+G189)/F210</f>
        <v>9.3000000000000007</v>
      </c>
      <c r="J190" s="520">
        <f>237.3/((7.5/LOG10(L190/611))-1)</f>
        <v>7.1525963981427259</v>
      </c>
      <c r="K190" s="519">
        <f>EXP(-6096.938/(I190+273.15)+21.2409642-2.711193*10^-2*(I190+273.15)+1.673952*10^-5*(I190+273.15)^2+2.433502*LN((I190+273.15)))</f>
        <v>1171.7052017269605</v>
      </c>
      <c r="L190" s="504">
        <f>J181-(J181-N181)*(H184+H185+H187+H189)/F215</f>
        <v>1012.7180581886462</v>
      </c>
      <c r="M190" s="495" t="str">
        <f>IF(L190/K190&lt;1,"○","×")</f>
        <v>○</v>
      </c>
      <c r="N190" s="494">
        <f>IF(L190/K190&gt;1,1,L190/K190)</f>
        <v>0.86431131029888297</v>
      </c>
      <c r="O190" s="496">
        <f>EXP(1.32774+7.80136*10^-2*I190-2.87894*10^-4*I190^2+1.36152*10^-6*I190^3+3.49024*10^-9*I190^4-4.87306*10^-3*ABS(I190))</f>
        <v>7.2729961141877615</v>
      </c>
      <c r="P190" s="497">
        <f t="shared" ref="P190" si="105">O190*N190</f>
        <v>6.2861328012523083</v>
      </c>
      <c r="Q190" s="497">
        <f t="shared" ref="Q190" si="106">1.005*I190+(O190/1000)*(2501.1+1.846*I190)</f>
        <v>27.661851923884161</v>
      </c>
      <c r="AB190" s="16">
        <v>8</v>
      </c>
      <c r="AC190" s="45">
        <f>F199</f>
        <v>0</v>
      </c>
      <c r="AD190" s="26">
        <f t="shared" si="102"/>
        <v>50</v>
      </c>
      <c r="AE190" s="26">
        <f>I200</f>
        <v>9.3000000000000007</v>
      </c>
      <c r="AF190" s="26">
        <f>J200</f>
        <v>7.1525963981427259</v>
      </c>
    </row>
    <row r="191" spans="1:32" ht="12" customHeight="1" x14ac:dyDescent="0.25">
      <c r="A191" s="545" t="s">
        <v>122</v>
      </c>
      <c r="B191" s="547"/>
      <c r="C191" s="548"/>
      <c r="D191" s="534" t="str">
        <f>IF(B191="","",VLOOKUP(B191,素材データ!$A$5:$AA$384,2,FALSE))</f>
        <v/>
      </c>
      <c r="E191" s="534" t="str">
        <f>IF(B191="","",VLOOKUP(B191,素材データ!$A$5:$AA$384,4,FALSE))</f>
        <v/>
      </c>
      <c r="F191" s="523"/>
      <c r="G191" s="525">
        <f>IF(D191="",0,IF(D191=0,VLOOKUP(B191,素材データ!$A$5:$AA$364,9,FALSE),IF(D191=0,0,F191/D191/1000)))</f>
        <v>0</v>
      </c>
      <c r="H191" s="532">
        <f>IF(E191="",0,IF(E191=0,VLOOKUP(B191,素材データ!$A$5:$AA$364,11,FALSE),E191*F191/1000))</f>
        <v>0</v>
      </c>
      <c r="I191" s="531"/>
      <c r="J191" s="520"/>
      <c r="K191" s="519"/>
      <c r="L191" s="504"/>
      <c r="M191" s="495"/>
      <c r="N191" s="494"/>
      <c r="O191" s="496"/>
      <c r="P191" s="496"/>
      <c r="Q191" s="496"/>
      <c r="AB191" s="16">
        <v>9</v>
      </c>
      <c r="AC191" s="45">
        <f>F201</f>
        <v>0</v>
      </c>
      <c r="AD191" s="26">
        <f t="shared" si="102"/>
        <v>50</v>
      </c>
      <c r="AE191" s="26">
        <f>I202</f>
        <v>9.3000000000000007</v>
      </c>
      <c r="AF191" s="26">
        <f>J202</f>
        <v>7.1525963981427259</v>
      </c>
    </row>
    <row r="192" spans="1:32" ht="12" customHeight="1" x14ac:dyDescent="0.25">
      <c r="A192" s="546"/>
      <c r="B192" s="549"/>
      <c r="C192" s="550"/>
      <c r="D192" s="535"/>
      <c r="E192" s="535"/>
      <c r="F192" s="524"/>
      <c r="G192" s="526"/>
      <c r="H192" s="533"/>
      <c r="I192" s="531">
        <f>J179-(J179-N179)*(G184+G185+G187+G189+G191)/F210</f>
        <v>9.3000000000000007</v>
      </c>
      <c r="J192" s="520">
        <f>237.3/((7.5/LOG10(L192/611))-1)</f>
        <v>7.1525963981427259</v>
      </c>
      <c r="K192" s="519">
        <f>EXP(-6096.938/(I192+273.15)+21.2409642-2.711193*10^-2*(I192+273.15)+1.673952*10^-5*(I192+273.15)^2+2.433502*LN((I192+273.15)))</f>
        <v>1171.7052017269605</v>
      </c>
      <c r="L192" s="504">
        <f>J181-(J181-N181)*(H184+H185+H187+H189+H191)/F215</f>
        <v>1012.7180581886462</v>
      </c>
      <c r="M192" s="495" t="str">
        <f>IF(L192/K192&lt;1,"○","×")</f>
        <v>○</v>
      </c>
      <c r="N192" s="494">
        <f>IF(L192/K192&gt;1,1,L192/K192)</f>
        <v>0.86431131029888297</v>
      </c>
      <c r="O192" s="496">
        <f>EXP(1.32774+7.80136*10^-2*I192-2.87894*10^-4*I192^2+1.36152*10^-6*I192^3+3.49024*10^-9*I192^4-4.87306*10^-3*ABS(I192))</f>
        <v>7.2729961141877615</v>
      </c>
      <c r="P192" s="497">
        <f t="shared" ref="P192" si="107">O192*N192</f>
        <v>6.2861328012523083</v>
      </c>
      <c r="Q192" s="497">
        <f t="shared" ref="Q192" si="108">1.005*I192+(O192/1000)*(2501.1+1.846*I192)</f>
        <v>27.661851923884161</v>
      </c>
      <c r="AB192" s="16">
        <v>10</v>
      </c>
      <c r="AC192" s="45">
        <f>F203</f>
        <v>0</v>
      </c>
      <c r="AD192" s="26">
        <f t="shared" si="102"/>
        <v>50</v>
      </c>
      <c r="AE192" s="26">
        <f>I204</f>
        <v>9.3000000000000007</v>
      </c>
      <c r="AF192" s="26">
        <f>J204</f>
        <v>7.1525963981427259</v>
      </c>
    </row>
    <row r="193" spans="1:32" ht="12" customHeight="1" x14ac:dyDescent="0.25">
      <c r="A193" s="545" t="s">
        <v>123</v>
      </c>
      <c r="B193" s="547"/>
      <c r="C193" s="548"/>
      <c r="D193" s="534" t="str">
        <f>IF(B193="","",VLOOKUP(B193,素材データ!$A$5:$AA$384,2,FALSE))</f>
        <v/>
      </c>
      <c r="E193" s="534" t="str">
        <f>IF(B193="","",VLOOKUP(B193,素材データ!$A$5:$AA$384,4,FALSE))</f>
        <v/>
      </c>
      <c r="F193" s="523"/>
      <c r="G193" s="525">
        <f>IF(D193="",0,IF(D193=0,VLOOKUP(B193,素材データ!$A$5:$AA$364,9,FALSE),IF(D193=0,0,F193/D193/1000)))</f>
        <v>0</v>
      </c>
      <c r="H193" s="532">
        <f>IF(E193="",0,IF(E193=0,VLOOKUP(B193,素材データ!$A$5:$AA$364,11,FALSE),E193*F193/1000))</f>
        <v>0</v>
      </c>
      <c r="I193" s="531"/>
      <c r="J193" s="520"/>
      <c r="K193" s="519"/>
      <c r="L193" s="504"/>
      <c r="M193" s="495"/>
      <c r="N193" s="494"/>
      <c r="O193" s="496"/>
      <c r="P193" s="496"/>
      <c r="Q193" s="496"/>
      <c r="AB193" s="16">
        <v>11</v>
      </c>
      <c r="AC193" s="45">
        <f>F205</f>
        <v>0</v>
      </c>
      <c r="AD193" s="26">
        <f t="shared" si="102"/>
        <v>50</v>
      </c>
      <c r="AE193" s="26">
        <f>I206</f>
        <v>9.3000000000000007</v>
      </c>
      <c r="AF193" s="26">
        <f>J206</f>
        <v>7.1525963981427259</v>
      </c>
    </row>
    <row r="194" spans="1:32" ht="12" customHeight="1" x14ac:dyDescent="0.25">
      <c r="A194" s="546"/>
      <c r="B194" s="549"/>
      <c r="C194" s="550"/>
      <c r="D194" s="535"/>
      <c r="E194" s="535"/>
      <c r="F194" s="524"/>
      <c r="G194" s="526"/>
      <c r="H194" s="533"/>
      <c r="I194" s="531">
        <f>J179-(J179-N179)*(G184+G185+G187+G189+G191+G193)/F210</f>
        <v>9.3000000000000007</v>
      </c>
      <c r="J194" s="520">
        <f>237.3/((7.5/LOG10(L194/611))-1)</f>
        <v>7.1525963981427259</v>
      </c>
      <c r="K194" s="519">
        <f>EXP(-6096.938/(I194+273.15)+21.2409642-2.711193*10^-2*(I194+273.15)+1.673952*10^-5*(I194+273.15)^2+2.433502*LN((I194+273.15)))</f>
        <v>1171.7052017269605</v>
      </c>
      <c r="L194" s="504">
        <f>J181-(J181-N181)*(H184+H185+H187+H189+H191+H193)/F215</f>
        <v>1012.7180581886462</v>
      </c>
      <c r="M194" s="495" t="str">
        <f>IF(L194/K194&lt;1,"○","×")</f>
        <v>○</v>
      </c>
      <c r="N194" s="494">
        <f>IF(L194/K194&gt;1,1,L194/K194)</f>
        <v>0.86431131029888297</v>
      </c>
      <c r="O194" s="496">
        <f>EXP(1.32774+7.80136*10^-2*I194-2.87894*10^-4*I194^2+1.36152*10^-6*I194^3+3.49024*10^-9*I194^4-4.87306*10^-3*ABS(I194))</f>
        <v>7.2729961141877615</v>
      </c>
      <c r="P194" s="497">
        <f t="shared" ref="P194" si="109">O194*N194</f>
        <v>6.2861328012523083</v>
      </c>
      <c r="Q194" s="497">
        <f t="shared" ref="Q194" si="110">1.005*I194+(O194/1000)*(2501.1+1.846*I194)</f>
        <v>27.661851923884161</v>
      </c>
      <c r="AB194" s="16">
        <v>12</v>
      </c>
      <c r="AC194" s="45">
        <f>F207</f>
        <v>0</v>
      </c>
      <c r="AD194" s="26">
        <f t="shared" si="102"/>
        <v>50</v>
      </c>
      <c r="AE194" s="26">
        <f>I208</f>
        <v>9.3000000000000007</v>
      </c>
      <c r="AF194" s="26">
        <f>J208</f>
        <v>7.1525963981427259</v>
      </c>
    </row>
    <row r="195" spans="1:32" ht="12" customHeight="1" x14ac:dyDescent="0.25">
      <c r="A195" s="545" t="s">
        <v>300</v>
      </c>
      <c r="B195" s="547"/>
      <c r="C195" s="548"/>
      <c r="D195" s="534" t="str">
        <f>IF(B195="","",VLOOKUP(B195,素材データ!$A$5:$AA$384,2,FALSE))</f>
        <v/>
      </c>
      <c r="E195" s="534" t="str">
        <f>IF(B195="","",VLOOKUP(B195,素材データ!$A$5:$AA$384,4,FALSE))</f>
        <v/>
      </c>
      <c r="F195" s="523"/>
      <c r="G195" s="525">
        <f>IF(D195="",0,IF(D195=0,VLOOKUP(B195,素材データ!$A$5:$AA$364,9,FALSE),IF(D195=0,0,F195/D195/1000)))</f>
        <v>0</v>
      </c>
      <c r="H195" s="532">
        <f>IF(E195="",0,IF(E195=0,VLOOKUP(B195,素材データ!$A$5:$AA$364,11,FALSE),E195*F195/1000))</f>
        <v>0</v>
      </c>
      <c r="I195" s="531"/>
      <c r="J195" s="520"/>
      <c r="K195" s="519"/>
      <c r="L195" s="504"/>
      <c r="M195" s="495"/>
      <c r="N195" s="494"/>
      <c r="O195" s="496"/>
      <c r="P195" s="496"/>
      <c r="Q195" s="496"/>
      <c r="AB195" s="16" t="s">
        <v>63</v>
      </c>
      <c r="AC195" s="45">
        <f>IF(E209="通気層工法(9mm以上)",9,IF(E209="通気層工法(18mm以上)",18,0))</f>
        <v>18</v>
      </c>
      <c r="AD195" s="26">
        <f t="shared" si="102"/>
        <v>68</v>
      </c>
      <c r="AE195" s="26">
        <f>N179</f>
        <v>3.6</v>
      </c>
      <c r="AF195" s="26">
        <f>237.3/((7.5/LOG10(N181/611))-1)</f>
        <v>-1.3468270695015434</v>
      </c>
    </row>
    <row r="196" spans="1:32" ht="12" customHeight="1" x14ac:dyDescent="0.25">
      <c r="A196" s="546"/>
      <c r="B196" s="549"/>
      <c r="C196" s="550"/>
      <c r="D196" s="535"/>
      <c r="E196" s="535"/>
      <c r="F196" s="524"/>
      <c r="G196" s="526"/>
      <c r="H196" s="533"/>
      <c r="I196" s="531">
        <f>J179-(J179-N179)*(G184+G185+G187+G189+G191+G193+G195)/F210</f>
        <v>9.3000000000000007</v>
      </c>
      <c r="J196" s="520">
        <f>237.3/((7.5/LOG10(L196/611))-1)</f>
        <v>7.1525963981427259</v>
      </c>
      <c r="K196" s="519">
        <f>EXP(-6096.938/(I196+273.15)+21.2409642-2.711193*10^-2*(I196+273.15)+1.673952*10^-5*(I196+273.15)^2+2.433502*LN((I196+273.15)))</f>
        <v>1171.7052017269605</v>
      </c>
      <c r="L196" s="504">
        <f>J181-(J181-N181)*(H184+H185+H187+H189+H191+H193+H195)/F215</f>
        <v>1012.7180581886462</v>
      </c>
      <c r="M196" s="495" t="str">
        <f>IF(L196/K196&lt;1,"○","×")</f>
        <v>○</v>
      </c>
      <c r="N196" s="494">
        <f>IF(L196/K196&gt;1,1,L196/K196)</f>
        <v>0.86431131029888297</v>
      </c>
      <c r="O196" s="496">
        <f>EXP(1.32774+7.80136*10^-2*I196-2.87894*10^-4*I196^2+1.36152*10^-6*I196^3+3.49024*10^-9*I196^4-4.87306*10^-3*ABS(I196))</f>
        <v>7.2729961141877615</v>
      </c>
      <c r="P196" s="497">
        <f t="shared" ref="P196" si="111">O196*N196</f>
        <v>6.2861328012523083</v>
      </c>
      <c r="Q196" s="497">
        <f t="shared" ref="Q196" si="112">1.005*I196+(O196/1000)*(2501.1+1.846*I196)</f>
        <v>27.661851923884161</v>
      </c>
      <c r="AC196" s="13">
        <v>50</v>
      </c>
      <c r="AD196" s="26">
        <f t="shared" si="102"/>
        <v>118</v>
      </c>
      <c r="AE196" s="26">
        <f>N179</f>
        <v>3.6</v>
      </c>
      <c r="AF196" s="26">
        <f>237.3/((7.5/LOG10(N181/611))-1)</f>
        <v>-1.3468270695015434</v>
      </c>
    </row>
    <row r="197" spans="1:32" ht="12" customHeight="1" x14ac:dyDescent="0.25">
      <c r="A197" s="545" t="s">
        <v>301</v>
      </c>
      <c r="B197" s="547"/>
      <c r="C197" s="548"/>
      <c r="D197" s="534" t="str">
        <f>IF(B197="","",VLOOKUP(B197,素材データ!$A$5:$AA$384,2,FALSE))</f>
        <v/>
      </c>
      <c r="E197" s="534" t="str">
        <f>IF(B197="","",VLOOKUP(B197,素材データ!$A$5:$AA$384,4,FALSE))</f>
        <v/>
      </c>
      <c r="F197" s="523"/>
      <c r="G197" s="525">
        <f>IF(D197="",0,IF(D197=0,VLOOKUP(B197,素材データ!$A$5:$AA$364,9,FALSE),IF(D197=0,0,F197/D197/1000)))</f>
        <v>0</v>
      </c>
      <c r="H197" s="532">
        <f>IF(E197="",0,IF(E197=0,VLOOKUP(B197,素材データ!$A$5:$AA$364,11,FALSE),E197*F197/1000))</f>
        <v>0</v>
      </c>
      <c r="I197" s="531"/>
      <c r="J197" s="520"/>
      <c r="K197" s="519"/>
      <c r="L197" s="504"/>
      <c r="M197" s="495"/>
      <c r="N197" s="494"/>
      <c r="O197" s="496"/>
      <c r="P197" s="496"/>
      <c r="Q197" s="496"/>
    </row>
    <row r="198" spans="1:32" ht="12" customHeight="1" x14ac:dyDescent="0.25">
      <c r="A198" s="546"/>
      <c r="B198" s="549"/>
      <c r="C198" s="550"/>
      <c r="D198" s="535"/>
      <c r="E198" s="535"/>
      <c r="F198" s="524"/>
      <c r="G198" s="526"/>
      <c r="H198" s="533"/>
      <c r="I198" s="531">
        <f>J179-(J179-N179)*(G184+G185+G187+G189+G191+G193+G195+G197)/F210</f>
        <v>9.3000000000000007</v>
      </c>
      <c r="J198" s="520">
        <f>237.3/((7.5/LOG10(L198/611))-1)</f>
        <v>7.1525963981427259</v>
      </c>
      <c r="K198" s="519">
        <f>EXP(-6096.938/(I198+273.15)+21.2409642-2.711193*10^-2*(I198+273.15)+1.673952*10^-5*(I198+273.15)^2+2.433502*LN((I198+273.15)))</f>
        <v>1171.7052017269605</v>
      </c>
      <c r="L198" s="504">
        <f>J181-(J181-N181)*(H184+H185+H187+H189+H191+H193+H195+H197)/F215</f>
        <v>1012.7180581886462</v>
      </c>
      <c r="M198" s="495" t="str">
        <f>IF(L198/K198&lt;1,"○","×")</f>
        <v>○</v>
      </c>
      <c r="N198" s="494">
        <f>IF(L198/K198&gt;1,1,L198/K198)</f>
        <v>0.86431131029888297</v>
      </c>
      <c r="O198" s="496">
        <f>EXP(1.32774+7.80136*10^-2*I198-2.87894*10^-4*I198^2+1.36152*10^-6*I198^3+3.49024*10^-9*I198^4-4.87306*10^-3*ABS(I198))</f>
        <v>7.2729961141877615</v>
      </c>
      <c r="P198" s="497">
        <f t="shared" ref="P198" si="113">O198*N198</f>
        <v>6.2861328012523083</v>
      </c>
      <c r="Q198" s="497">
        <f t="shared" ref="Q198" si="114">1.005*I198+(O198/1000)*(2501.1+1.846*I198)</f>
        <v>27.661851923884161</v>
      </c>
    </row>
    <row r="199" spans="1:32" ht="12" customHeight="1" x14ac:dyDescent="0.25">
      <c r="A199" s="545" t="s">
        <v>230</v>
      </c>
      <c r="B199" s="547"/>
      <c r="C199" s="548"/>
      <c r="D199" s="534" t="str">
        <f>IF(B199="","",VLOOKUP(B199,素材データ!$A$5:$AA$384,2,FALSE))</f>
        <v/>
      </c>
      <c r="E199" s="534" t="str">
        <f>IF(B199="","",VLOOKUP(B199,素材データ!$A$5:$AA$384,4,FALSE))</f>
        <v/>
      </c>
      <c r="F199" s="523"/>
      <c r="G199" s="525">
        <f>IF(D199="",0,IF(D199=0,VLOOKUP(B199,素材データ!$A$5:$AA$364,9,FALSE),IF(D199=0,0,F199/D199/1000)))</f>
        <v>0</v>
      </c>
      <c r="H199" s="532">
        <f>IF(E199="",0,IF(E199=0,VLOOKUP(B199,素材データ!$A$5:$AA$364,11,FALSE),E199*F199/1000))</f>
        <v>0</v>
      </c>
      <c r="I199" s="531"/>
      <c r="J199" s="520"/>
      <c r="K199" s="519"/>
      <c r="L199" s="504"/>
      <c r="M199" s="495"/>
      <c r="N199" s="494"/>
      <c r="O199" s="496"/>
      <c r="P199" s="496"/>
      <c r="Q199" s="496"/>
    </row>
    <row r="200" spans="1:32" ht="12" customHeight="1" x14ac:dyDescent="0.25">
      <c r="A200" s="546"/>
      <c r="B200" s="549"/>
      <c r="C200" s="550"/>
      <c r="D200" s="535"/>
      <c r="E200" s="535"/>
      <c r="F200" s="524"/>
      <c r="G200" s="526"/>
      <c r="H200" s="533"/>
      <c r="I200" s="531">
        <f>J179-(J179-N179)*(G184+G185+G187+G189+G191+G193+G195+G197+G199)/F210</f>
        <v>9.3000000000000007</v>
      </c>
      <c r="J200" s="520">
        <f>237.3/((7.5/LOG10(L200/611))-1)</f>
        <v>7.1525963981427259</v>
      </c>
      <c r="K200" s="519">
        <f>EXP(-6096.938/(I200+273.15)+21.2409642-2.711193*10^-2*(I200+273.15)+1.673952*10^-5*(I200+273.15)^2+2.433502*LN((I200+273.15)))</f>
        <v>1171.7052017269605</v>
      </c>
      <c r="L200" s="504">
        <f>J181-(J181-N181)*(H184+H185+H187+H189+H191+H193+H195+H197+H199)/F215</f>
        <v>1012.7180581886462</v>
      </c>
      <c r="M200" s="495" t="str">
        <f>IF(L200/K200&lt;1,"○","×")</f>
        <v>○</v>
      </c>
      <c r="N200" s="494">
        <f>IF(L200/K200&gt;1,1,L200/K200)</f>
        <v>0.86431131029888297</v>
      </c>
      <c r="O200" s="496">
        <f>EXP(1.32774+7.80136*10^-2*I200-2.87894*10^-4*I200^2+1.36152*10^-6*I200^3+3.49024*10^-9*I200^4-4.87306*10^-3*ABS(I200))</f>
        <v>7.2729961141877615</v>
      </c>
      <c r="P200" s="497">
        <f t="shared" ref="P200" si="115">O200*N200</f>
        <v>6.2861328012523083</v>
      </c>
      <c r="Q200" s="497">
        <f t="shared" ref="Q200" si="116">1.005*I200+(O200/1000)*(2501.1+1.846*I200)</f>
        <v>27.661851923884161</v>
      </c>
    </row>
    <row r="201" spans="1:32" ht="12" customHeight="1" x14ac:dyDescent="0.25">
      <c r="A201" s="545" t="s">
        <v>231</v>
      </c>
      <c r="B201" s="547"/>
      <c r="C201" s="548"/>
      <c r="D201" s="534" t="str">
        <f>IF(B201="","",VLOOKUP(B201,素材データ!$A$5:$AA$384,2,FALSE))</f>
        <v/>
      </c>
      <c r="E201" s="534" t="str">
        <f>IF(B201="","",VLOOKUP(B201,素材データ!$A$5:$AA$384,4,FALSE))</f>
        <v/>
      </c>
      <c r="F201" s="523"/>
      <c r="G201" s="525">
        <f>IF(D201="",0,IF(D201=0,VLOOKUP(B201,素材データ!$A$5:$AA$364,9,FALSE),IF(D201=0,0,F201/D201/1000)))</f>
        <v>0</v>
      </c>
      <c r="H201" s="532">
        <f>IF(E201="",0,IF(E201=0,VLOOKUP(B201,素材データ!$A$5:$AA$364,11,FALSE),E201*F201/1000))</f>
        <v>0</v>
      </c>
      <c r="I201" s="531"/>
      <c r="J201" s="520"/>
      <c r="K201" s="519"/>
      <c r="L201" s="504"/>
      <c r="M201" s="495"/>
      <c r="N201" s="494"/>
      <c r="O201" s="496"/>
      <c r="P201" s="496"/>
      <c r="Q201" s="496"/>
    </row>
    <row r="202" spans="1:32" ht="12" customHeight="1" x14ac:dyDescent="0.25">
      <c r="A202" s="546"/>
      <c r="B202" s="549"/>
      <c r="C202" s="550"/>
      <c r="D202" s="535"/>
      <c r="E202" s="535"/>
      <c r="F202" s="524"/>
      <c r="G202" s="526"/>
      <c r="H202" s="533"/>
      <c r="I202" s="531">
        <f>J179-(J179-N179)*(G184+G185+G187+G189+G191+G193+G195+G197+G199+G201)/F210</f>
        <v>9.3000000000000007</v>
      </c>
      <c r="J202" s="520">
        <f>237.3/((7.5/LOG10(L202/611))-1)</f>
        <v>7.1525963981427259</v>
      </c>
      <c r="K202" s="519">
        <f>EXP(-6096.938/(I202+273.15)+21.2409642-2.711193*10^-2*(I202+273.15)+1.673952*10^-5*(I202+273.15)^2+2.433502*LN((I202+273.15)))</f>
        <v>1171.7052017269605</v>
      </c>
      <c r="L202" s="504">
        <f>J181-(J181-N181)*(H184+H185+H187+H189+H191+H193+H195+H197+H199+H201)/F215</f>
        <v>1012.7180581886462</v>
      </c>
      <c r="M202" s="495" t="str">
        <f>IF(L202/K202&lt;1,"○","×")</f>
        <v>○</v>
      </c>
      <c r="N202" s="494">
        <f>IF(L202/K202&gt;1,1,L202/K202)</f>
        <v>0.86431131029888297</v>
      </c>
      <c r="O202" s="496">
        <f>EXP(1.32774+7.80136*10^-2*I202-2.87894*10^-4*I202^2+1.36152*10^-6*I202^3+3.49024*10^-9*I202^4-4.87306*10^-3*ABS(I202))</f>
        <v>7.2729961141877615</v>
      </c>
      <c r="P202" s="497">
        <f t="shared" ref="P202" si="117">O202*N202</f>
        <v>6.2861328012523083</v>
      </c>
      <c r="Q202" s="497">
        <f t="shared" ref="Q202" si="118">1.005*I202+(O202/1000)*(2501.1+1.846*I202)</f>
        <v>27.661851923884161</v>
      </c>
    </row>
    <row r="203" spans="1:32" ht="12" customHeight="1" x14ac:dyDescent="0.25">
      <c r="A203" s="545" t="s">
        <v>585</v>
      </c>
      <c r="B203" s="547"/>
      <c r="C203" s="548"/>
      <c r="D203" s="534" t="str">
        <f>IF(B203="","",VLOOKUP(B203,素材データ!$A$5:$AA$384,2,FALSE))</f>
        <v/>
      </c>
      <c r="E203" s="534" t="str">
        <f>IF(B203="","",VLOOKUP(B203,素材データ!$A$5:$AA$384,4,FALSE))</f>
        <v/>
      </c>
      <c r="F203" s="523"/>
      <c r="G203" s="525">
        <f>IF(D203="",0,IF(D203=0,VLOOKUP(B203,素材データ!$A$5:$AA$364,9,FALSE),IF(D203=0,0,F203/D203/1000)))</f>
        <v>0</v>
      </c>
      <c r="H203" s="532">
        <f>IF(E203="",0,IF(E203=0,VLOOKUP(B203,素材データ!$A$5:$AA$364,11,FALSE),E203*F203/1000))</f>
        <v>0</v>
      </c>
      <c r="I203" s="531"/>
      <c r="J203" s="520"/>
      <c r="K203" s="519"/>
      <c r="L203" s="504"/>
      <c r="M203" s="495"/>
      <c r="N203" s="494"/>
      <c r="O203" s="496"/>
      <c r="P203" s="496"/>
      <c r="Q203" s="496"/>
    </row>
    <row r="204" spans="1:32" ht="12" customHeight="1" x14ac:dyDescent="0.25">
      <c r="A204" s="546"/>
      <c r="B204" s="549"/>
      <c r="C204" s="550"/>
      <c r="D204" s="535"/>
      <c r="E204" s="535"/>
      <c r="F204" s="524"/>
      <c r="G204" s="526"/>
      <c r="H204" s="533"/>
      <c r="I204" s="531">
        <f>J179-(J179-N179)*(G184+G185+G187+G189+G191+G193+G195+G197+G199+G201+G203)/F210</f>
        <v>9.3000000000000007</v>
      </c>
      <c r="J204" s="520">
        <f>237.3/((7.5/LOG10(L204/611))-1)</f>
        <v>7.1525963981427259</v>
      </c>
      <c r="K204" s="519">
        <f>EXP(-6096.938/(I204+273.15)+21.2409642-2.711193*10^-2*(I204+273.15)+1.673952*10^-5*(I204+273.15)^2+2.433502*LN((I204+273.15)))</f>
        <v>1171.7052017269605</v>
      </c>
      <c r="L204" s="504">
        <f>J181-(J181-N181)*(H184+H185+H187+H189+H191+H193+H195+H197+H199+H201+H203)/F215</f>
        <v>1012.7180581886462</v>
      </c>
      <c r="M204" s="495" t="str">
        <f>IF(L204/K204&lt;1,"○","×")</f>
        <v>○</v>
      </c>
      <c r="N204" s="494">
        <f>IF(L204/K204&gt;1,1,L204/K204)</f>
        <v>0.86431131029888297</v>
      </c>
      <c r="O204" s="496">
        <f>EXP(1.32774+7.80136*10^-2*I204-2.87894*10^-4*I204^2+1.36152*10^-6*I204^3+3.49024*10^-9*I204^4-4.87306*10^-3*ABS(I204))</f>
        <v>7.2729961141877615</v>
      </c>
      <c r="P204" s="497">
        <f t="shared" ref="P204" si="119">O204*N204</f>
        <v>6.2861328012523083</v>
      </c>
      <c r="Q204" s="497">
        <f t="shared" ref="Q204" si="120">1.005*I204+(O204/1000)*(2501.1+1.846*I204)</f>
        <v>27.661851923884161</v>
      </c>
    </row>
    <row r="205" spans="1:32" ht="12" customHeight="1" x14ac:dyDescent="0.25">
      <c r="A205" s="545" t="s">
        <v>586</v>
      </c>
      <c r="B205" s="547"/>
      <c r="C205" s="548"/>
      <c r="D205" s="534" t="str">
        <f>IF(B205="","",VLOOKUP(B205,素材データ!$A$5:$AA$384,2,FALSE))</f>
        <v/>
      </c>
      <c r="E205" s="534" t="str">
        <f>IF(B205="","",VLOOKUP(B205,素材データ!$A$5:$AA$384,4,FALSE))</f>
        <v/>
      </c>
      <c r="F205" s="523"/>
      <c r="G205" s="525">
        <f>IF(D205="",0,IF(D205=0,VLOOKUP(B205,素材データ!$A$5:$AA$364,9,FALSE),IF(D205=0,0,F205/D205/1000)))</f>
        <v>0</v>
      </c>
      <c r="H205" s="532">
        <f>IF(E205="",0,IF(E205=0,VLOOKUP(B205,素材データ!$A$5:$AA$364,11,FALSE),E205*F205/1000))</f>
        <v>0</v>
      </c>
      <c r="I205" s="531"/>
      <c r="J205" s="520"/>
      <c r="K205" s="519"/>
      <c r="L205" s="504"/>
      <c r="M205" s="495"/>
      <c r="N205" s="494"/>
      <c r="O205" s="496"/>
      <c r="P205" s="496"/>
      <c r="Q205" s="496"/>
    </row>
    <row r="206" spans="1:32" ht="12" customHeight="1" x14ac:dyDescent="0.25">
      <c r="A206" s="546"/>
      <c r="B206" s="549"/>
      <c r="C206" s="550"/>
      <c r="D206" s="535"/>
      <c r="E206" s="535"/>
      <c r="F206" s="524"/>
      <c r="G206" s="526"/>
      <c r="H206" s="533"/>
      <c r="I206" s="531">
        <f>J179-(J179-N179)*(G184+G185+G187+G189+G191+G193+G195+G197+G199+G201+G203+G205)/F210</f>
        <v>9.3000000000000007</v>
      </c>
      <c r="J206" s="520">
        <f>237.3/((7.5/LOG10(L206/611))-1)</f>
        <v>7.1525963981427259</v>
      </c>
      <c r="K206" s="519">
        <f>EXP(-6096.938/(I206+273.15)+21.2409642-2.711193*10^-2*(I206+273.15)+1.673952*10^-5*(I206+273.15)^2+2.433502*LN((I206+273.15)))</f>
        <v>1171.7052017269605</v>
      </c>
      <c r="L206" s="504">
        <f>J181-(J181-N181)*(H184+H185+H187+H189+H191+H193+H195+H197+H199+H201+H203+H205)/F215</f>
        <v>1012.7180581886462</v>
      </c>
      <c r="M206" s="495" t="str">
        <f>IF(L206/K206&lt;1,"○","×")</f>
        <v>○</v>
      </c>
      <c r="N206" s="494">
        <f>IF(L206/K206&gt;1,1,L206/K206)</f>
        <v>0.86431131029888297</v>
      </c>
      <c r="O206" s="496">
        <f>EXP(1.32774+7.80136*10^-2*I206-2.87894*10^-4*I206^2+1.36152*10^-6*I206^3+3.49024*10^-9*I206^4-4.87306*10^-3*ABS(I206))</f>
        <v>7.2729961141877615</v>
      </c>
      <c r="P206" s="497">
        <f t="shared" ref="P206" si="121">O206*N206</f>
        <v>6.2861328012523083</v>
      </c>
      <c r="Q206" s="497">
        <f t="shared" ref="Q206" si="122">1.005*I206+(O206/1000)*(2501.1+1.846*I206)</f>
        <v>27.661851923884161</v>
      </c>
    </row>
    <row r="207" spans="1:32" ht="12" customHeight="1" x14ac:dyDescent="0.25">
      <c r="A207" s="545" t="s">
        <v>587</v>
      </c>
      <c r="B207" s="547"/>
      <c r="C207" s="548"/>
      <c r="D207" s="534" t="str">
        <f>IF(B207="","",VLOOKUP(B207,素材データ!$A$5:$AA$384,2,FALSE))</f>
        <v/>
      </c>
      <c r="E207" s="534" t="str">
        <f>IF(B207="","",VLOOKUP(B207,素材データ!$A$5:$AA$384,4,FALSE))</f>
        <v/>
      </c>
      <c r="F207" s="523"/>
      <c r="G207" s="525">
        <f>IF(D207="",0,IF(D207=0,VLOOKUP(B207,素材データ!$A$5:$AA$364,9,FALSE),IF(D207=0,0,F207/D207/1000)))</f>
        <v>0</v>
      </c>
      <c r="H207" s="532">
        <f>IF(E207="",0,IF(E207=0,VLOOKUP(B207,素材データ!$A$5:$AA$364,11,FALSE),E207*F207/1000))</f>
        <v>0</v>
      </c>
      <c r="I207" s="531"/>
      <c r="J207" s="520"/>
      <c r="K207" s="519"/>
      <c r="L207" s="504"/>
      <c r="M207" s="495"/>
      <c r="N207" s="494"/>
      <c r="O207" s="496"/>
      <c r="P207" s="496"/>
      <c r="Q207" s="496"/>
    </row>
    <row r="208" spans="1:32" ht="12" customHeight="1" x14ac:dyDescent="0.25">
      <c r="A208" s="546"/>
      <c r="B208" s="549"/>
      <c r="C208" s="550"/>
      <c r="D208" s="535"/>
      <c r="E208" s="535"/>
      <c r="F208" s="524"/>
      <c r="G208" s="526"/>
      <c r="H208" s="533"/>
      <c r="I208" s="531">
        <f>J179-(J179-N179)*(G184+G185+G187+G189+G191+G193+G195+G197+G199+G201+G203+G205+G207)/F210</f>
        <v>9.3000000000000007</v>
      </c>
      <c r="J208" s="520">
        <f>237.3/((7.5/LOG10(L208/611))-1)</f>
        <v>7.1525963981427259</v>
      </c>
      <c r="K208" s="519">
        <f>EXP(-6096.938/(I208+273.15)+21.2409642-2.711193*10^-2*(I208+273.15)+1.673952*10^-5*(I208+273.15)^2+2.433502*LN((I208+273.15)))</f>
        <v>1171.7052017269605</v>
      </c>
      <c r="L208" s="504">
        <f>J181-(J181-N181)*(H184+H185+H187+H189+H191+H193+H195+H197+H199+H201+H203+H205+H207)/F215</f>
        <v>1012.7180581886462</v>
      </c>
      <c r="M208" s="495" t="str">
        <f>IF(L208/K208&lt;1,"○","×")</f>
        <v>○</v>
      </c>
      <c r="N208" s="494">
        <f>IF(L208/K208&gt;1,1,L208/K208)</f>
        <v>0.86431131029888297</v>
      </c>
      <c r="O208" s="496">
        <f>EXP(1.32774+7.80136*10^-2*I208-2.87894*10^-4*I208^2+1.36152*10^-6*I208^3+3.49024*10^-9*I208^4-4.87306*10^-3*ABS(I208))</f>
        <v>7.2729961141877615</v>
      </c>
      <c r="P208" s="497">
        <f t="shared" ref="P208" si="123">O208*N208</f>
        <v>6.2861328012523083</v>
      </c>
      <c r="Q208" s="497">
        <f t="shared" ref="Q208" si="124">1.005*I208+(O208/1000)*(2501.1+1.846*I208)</f>
        <v>27.661851923884161</v>
      </c>
    </row>
    <row r="209" spans="1:32" ht="12" customHeight="1" x14ac:dyDescent="0.25">
      <c r="A209" s="454" t="s">
        <v>187</v>
      </c>
      <c r="B209" s="579" t="s">
        <v>5</v>
      </c>
      <c r="C209" s="580"/>
      <c r="D209" s="485" t="str">
        <f>F180</f>
        <v>外壁</v>
      </c>
      <c r="E209" s="570" t="s">
        <v>298</v>
      </c>
      <c r="F209" s="571"/>
      <c r="G209" s="486">
        <f>IF(AND(F180="外壁",E209="通気層工法(18mm以上)"),0.11,IF(AND(F180="外壁",E209="通気層工法(9mm以上)"),0.11,IF(AND(F180="外壁",E209="通気層なし"),0.04,IF(AND(F180="屋根",E209="通気層工法(18mm以上)"),0.09,IF(AND(F180="屋根",E209="通気層工法(9mm以上)"),0.09,IF(AND(F180="屋根",E209="通気層なし"),0.04,IF(F180="天井",0.09,IF(F180="床",0.15,0.11))))))))</f>
        <v>0.11</v>
      </c>
      <c r="H209" s="487">
        <f>IF(AND(F180="外壁",E209="通気層工法(18mm以上)"),1.8,IF(AND(F180="外壁",E209="通気層工法(9mm以上)"),3.6,IF(AND(F180="外壁",E209="通気層なし"),0.014,IF(AND(F180="屋根",E209="通気層工法(18mm以上)"),3.6,IF(AND(F180="屋根",E209="通気層工法(9mm以上)"),5.4,IF(AND(F180="屋根",E209="通気層なし"),0.014,IF(F180="天井",0.042,IF(F180="床",0.042,0.014))))))))*3600*10^-9/760*1.013*10^5</f>
        <v>8.6371578947368427E-4</v>
      </c>
      <c r="I209" s="581"/>
      <c r="J209" s="521"/>
      <c r="K209" s="522"/>
      <c r="L209" s="509"/>
      <c r="M209" s="508"/>
      <c r="N209" s="511"/>
      <c r="O209" s="510"/>
      <c r="P209" s="510"/>
      <c r="Q209" s="510"/>
    </row>
    <row r="210" spans="1:32" ht="15" customHeight="1" x14ac:dyDescent="0.25">
      <c r="A210" s="572" t="s">
        <v>7</v>
      </c>
      <c r="B210" s="569"/>
      <c r="C210" s="569"/>
      <c r="D210" s="459"/>
      <c r="E210" s="460"/>
      <c r="F210" s="575">
        <f>SUM(G184:G209)</f>
        <v>0.22</v>
      </c>
      <c r="G210" s="576"/>
      <c r="H210" s="63"/>
      <c r="M210" s="62"/>
      <c r="N210" s="62"/>
      <c r="O210" s="64"/>
      <c r="P210" s="62"/>
      <c r="Q210" s="62"/>
    </row>
    <row r="211" spans="1:32" ht="15" customHeight="1" x14ac:dyDescent="0.25">
      <c r="A211" s="573"/>
      <c r="B211" s="574"/>
      <c r="C211" s="574"/>
      <c r="D211" s="463"/>
      <c r="E211" s="464" t="s">
        <v>717</v>
      </c>
      <c r="F211" s="577"/>
      <c r="G211" s="578"/>
      <c r="H211" s="63"/>
      <c r="M211" s="62"/>
      <c r="N211" s="62"/>
      <c r="O211" s="64"/>
      <c r="P211" s="62"/>
      <c r="Q211" s="62"/>
      <c r="R211" s="46"/>
    </row>
    <row r="212" spans="1:32" ht="15" customHeight="1" x14ac:dyDescent="0.25">
      <c r="A212" s="568" t="s">
        <v>10</v>
      </c>
      <c r="B212" s="569"/>
      <c r="C212" s="569"/>
      <c r="D212" s="459"/>
      <c r="E212" s="474"/>
      <c r="F212" s="562">
        <f>1/F210</f>
        <v>4.5454545454545459</v>
      </c>
      <c r="G212" s="563"/>
      <c r="H212" s="65"/>
      <c r="I212" s="483"/>
      <c r="J212" s="483"/>
      <c r="K212" s="484"/>
      <c r="L212" s="484"/>
      <c r="M212" s="62"/>
      <c r="N212" s="62"/>
      <c r="O212" s="66"/>
      <c r="P212" s="12" t="s">
        <v>571</v>
      </c>
      <c r="Q212" s="67">
        <f>IF(F180="外壁",5,6)</f>
        <v>5</v>
      </c>
    </row>
    <row r="213" spans="1:32" ht="15" customHeight="1" x14ac:dyDescent="0.25">
      <c r="A213" s="568"/>
      <c r="B213" s="569"/>
      <c r="C213" s="569"/>
      <c r="D213" s="459"/>
      <c r="E213" s="461" t="s">
        <v>716</v>
      </c>
      <c r="F213" s="562"/>
      <c r="G213" s="563"/>
      <c r="H213" s="65"/>
      <c r="I213" s="483"/>
      <c r="J213" s="483"/>
      <c r="K213" s="484"/>
      <c r="L213" s="484"/>
      <c r="M213" s="62"/>
      <c r="N213" s="62"/>
      <c r="O213" s="66"/>
      <c r="P213" s="12" t="s">
        <v>572</v>
      </c>
      <c r="Q213" s="68">
        <f>IF(F180="外壁",5,6)</f>
        <v>5</v>
      </c>
    </row>
    <row r="214" spans="1:32" ht="15" customHeight="1" x14ac:dyDescent="0.25">
      <c r="A214" s="492" t="s">
        <v>303</v>
      </c>
      <c r="B214" s="490">
        <f>IF(J179&gt;N179,J179-N179,N179-J179)</f>
        <v>11.4</v>
      </c>
      <c r="C214" s="465" t="s">
        <v>707</v>
      </c>
      <c r="D214" s="489">
        <f>F212*B214*3600/1000</f>
        <v>186.54545454545459</v>
      </c>
      <c r="E214" s="466" t="s">
        <v>713</v>
      </c>
      <c r="F214" s="489">
        <f>D214*24</f>
        <v>4477.0909090909099</v>
      </c>
      <c r="G214" s="467" t="s">
        <v>714</v>
      </c>
      <c r="H214" s="65"/>
      <c r="I214" s="483"/>
      <c r="J214" s="483"/>
      <c r="K214" s="484"/>
      <c r="L214" s="484"/>
      <c r="M214" s="62"/>
      <c r="N214" s="62"/>
      <c r="O214" s="66"/>
      <c r="P214" s="12" t="s">
        <v>573</v>
      </c>
      <c r="Q214" s="68">
        <f>IF(F180="外壁",5,6)</f>
        <v>5</v>
      </c>
    </row>
    <row r="215" spans="1:32" ht="15" customHeight="1" x14ac:dyDescent="0.25">
      <c r="A215" s="572" t="s">
        <v>709</v>
      </c>
      <c r="B215" s="583"/>
      <c r="C215" s="583"/>
      <c r="D215" s="471"/>
      <c r="E215" s="472"/>
      <c r="F215" s="584">
        <f>SUM(H184:H209)</f>
        <v>8.8386915789473691E-4</v>
      </c>
      <c r="G215" s="585"/>
      <c r="H215" s="65"/>
      <c r="I215" s="483"/>
      <c r="J215" s="483"/>
      <c r="K215" s="484"/>
      <c r="L215" s="484"/>
      <c r="M215" s="62"/>
      <c r="N215" s="62"/>
      <c r="O215" s="66"/>
      <c r="P215" s="12" t="s">
        <v>574</v>
      </c>
      <c r="Q215" s="68">
        <f>IF(F180="外壁",3,4)</f>
        <v>3</v>
      </c>
    </row>
    <row r="216" spans="1:32" ht="15" customHeight="1" x14ac:dyDescent="0.25">
      <c r="A216" s="573"/>
      <c r="B216" s="574"/>
      <c r="C216" s="574"/>
      <c r="D216" s="463"/>
      <c r="E216" s="464"/>
      <c r="F216" s="586"/>
      <c r="G216" s="587"/>
      <c r="H216" s="65"/>
      <c r="I216" s="483"/>
      <c r="J216" s="483"/>
      <c r="K216" s="484"/>
      <c r="L216" s="484"/>
      <c r="M216" s="62"/>
      <c r="N216" s="62"/>
      <c r="O216" s="66"/>
      <c r="P216" s="12" t="s">
        <v>575</v>
      </c>
      <c r="Q216" s="68">
        <f>IF(F180="外壁",2,3)</f>
        <v>2</v>
      </c>
    </row>
    <row r="217" spans="1:32" ht="15" customHeight="1" x14ac:dyDescent="0.25">
      <c r="A217" s="568" t="s">
        <v>710</v>
      </c>
      <c r="B217" s="569"/>
      <c r="C217" s="569"/>
      <c r="D217" s="459"/>
      <c r="E217" s="460"/>
      <c r="F217" s="589">
        <f>1/F215</f>
        <v>1131.3891779885971</v>
      </c>
      <c r="G217" s="590"/>
      <c r="H217" s="65"/>
      <c r="I217" s="483"/>
      <c r="J217" s="483"/>
      <c r="K217" s="484"/>
      <c r="L217" s="484"/>
      <c r="M217" s="62"/>
      <c r="N217" s="62"/>
      <c r="O217" s="66"/>
      <c r="P217" s="12" t="s">
        <v>576</v>
      </c>
      <c r="Q217" s="68">
        <f>IF(F180="外壁",2,3)</f>
        <v>2</v>
      </c>
    </row>
    <row r="218" spans="1:32" ht="15" customHeight="1" x14ac:dyDescent="0.25">
      <c r="A218" s="568"/>
      <c r="B218" s="569"/>
      <c r="C218" s="569"/>
      <c r="D218" s="462"/>
      <c r="E218" s="461"/>
      <c r="F218" s="589"/>
      <c r="G218" s="590"/>
      <c r="H218" s="65"/>
      <c r="I218" s="483"/>
      <c r="J218" s="483"/>
      <c r="K218" s="484"/>
      <c r="L218" s="484"/>
      <c r="M218" s="62"/>
      <c r="N218" s="62"/>
      <c r="O218" s="66"/>
      <c r="P218" s="12" t="s">
        <v>577</v>
      </c>
      <c r="Q218" s="68">
        <f>IF(F180="外壁",2,3)</f>
        <v>2</v>
      </c>
    </row>
    <row r="219" spans="1:32" ht="15" customHeight="1" x14ac:dyDescent="0.25">
      <c r="A219" s="96" t="s">
        <v>711</v>
      </c>
      <c r="B219" s="491">
        <f>IF(J181&gt;N181,J181-N181,N181-J181)</f>
        <v>469.78525078023483</v>
      </c>
      <c r="C219" s="473" t="s">
        <v>708</v>
      </c>
      <c r="D219" s="488">
        <f>F217*B219*3600*10^-9</f>
        <v>1.9134358153611006</v>
      </c>
      <c r="E219" s="98" t="s">
        <v>712</v>
      </c>
      <c r="F219" s="488">
        <f>D219*24</f>
        <v>45.922459568666412</v>
      </c>
      <c r="G219" s="99" t="s">
        <v>715</v>
      </c>
      <c r="H219" s="65"/>
      <c r="I219" s="483"/>
      <c r="J219" s="483"/>
      <c r="K219" s="484"/>
      <c r="L219" s="484"/>
      <c r="M219" s="62"/>
      <c r="N219" s="62"/>
      <c r="O219" s="66"/>
      <c r="P219" s="12" t="s">
        <v>578</v>
      </c>
      <c r="Q219" s="72" t="s">
        <v>9</v>
      </c>
    </row>
    <row r="220" spans="1:32" ht="15" customHeight="1" x14ac:dyDescent="0.25">
      <c r="A220" s="591" t="s">
        <v>102</v>
      </c>
      <c r="B220" s="592"/>
      <c r="C220" s="468" t="s">
        <v>103</v>
      </c>
      <c r="D220" s="469">
        <f>$T$22</f>
        <v>15</v>
      </c>
      <c r="E220" s="470" t="s">
        <v>104</v>
      </c>
      <c r="F220" s="469">
        <f>$D$264-($J179-$D221)*G184/$F210</f>
        <v>6</v>
      </c>
      <c r="G220" s="595" t="str">
        <f>IF(F221&lt;F220,"○","×")</f>
        <v>×</v>
      </c>
      <c r="H220" s="63"/>
      <c r="M220" s="75"/>
      <c r="N220" s="75"/>
      <c r="O220" s="76"/>
      <c r="P220" s="75"/>
      <c r="Q220" s="75"/>
    </row>
    <row r="221" spans="1:32" ht="15" customHeight="1" x14ac:dyDescent="0.25">
      <c r="A221" s="593"/>
      <c r="B221" s="594"/>
      <c r="C221" s="455" t="s">
        <v>55</v>
      </c>
      <c r="D221" s="456">
        <f>VLOOKUP(E180,$S$23:$U$30,2,FALSE)</f>
        <v>-3</v>
      </c>
      <c r="E221" s="457" t="s">
        <v>16</v>
      </c>
      <c r="F221" s="458">
        <f>237.3/((7.5/LOG10(((6.11*10^(7.5*$T$22/($T$22+237.3))*$U$22/100)-((6.11*10^(7.5*$T$22/($T$22+237.3))*$U$22/100)-(6.11*10^(7.5*$D221/($D221+237.3))*$N180/100))*H184/F215)/6.11))-1)</f>
        <v>7.0843168861848973</v>
      </c>
      <c r="G221" s="596"/>
      <c r="H221" s="52"/>
      <c r="I221" s="77"/>
      <c r="J221" s="77"/>
      <c r="K221" s="77"/>
      <c r="L221" s="77"/>
      <c r="M221" s="78"/>
      <c r="N221" s="78"/>
      <c r="O221" s="79"/>
      <c r="P221" s="75"/>
      <c r="Q221" s="75"/>
    </row>
    <row r="222" spans="1:32" ht="12.75" customHeight="1" x14ac:dyDescent="0.25">
      <c r="A222" s="2"/>
      <c r="B222" s="2"/>
      <c r="C222" s="2"/>
      <c r="D222" s="2"/>
      <c r="E222" s="2"/>
      <c r="F222" s="2"/>
      <c r="G222" s="2"/>
      <c r="H222" s="2"/>
      <c r="I222" s="93"/>
      <c r="J222" s="93"/>
      <c r="K222" s="94"/>
      <c r="L222" s="94"/>
      <c r="M222" s="82"/>
      <c r="N222" s="82"/>
      <c r="O222" s="82"/>
      <c r="P222" s="82"/>
      <c r="Q222" s="82"/>
    </row>
    <row r="223" spans="1:32" ht="12" customHeight="1" x14ac:dyDescent="0.25">
      <c r="A223" s="505" t="s">
        <v>188</v>
      </c>
      <c r="B223" s="551" t="s">
        <v>189</v>
      </c>
      <c r="C223" s="552"/>
      <c r="D223" s="553"/>
      <c r="E223" s="476" t="s">
        <v>276</v>
      </c>
      <c r="F223" s="477" t="s">
        <v>111</v>
      </c>
      <c r="G223" s="478" t="s">
        <v>190</v>
      </c>
      <c r="H223" s="505" t="s">
        <v>191</v>
      </c>
      <c r="I223" s="479" t="s">
        <v>192</v>
      </c>
      <c r="J223" s="517">
        <f>IF(G224="冬型結露",$T$3,26)</f>
        <v>15</v>
      </c>
      <c r="K223" s="518"/>
      <c r="L223" s="505" t="s">
        <v>193</v>
      </c>
      <c r="M223" s="479" t="s">
        <v>192</v>
      </c>
      <c r="N223" s="517">
        <f>IF(G224="夏型結露",VLOOKUP(F224,$S$16:$U$19,2,FALSE),VLOOKUP(E224,$S$5:$U$12,2,FALSE))</f>
        <v>3.6</v>
      </c>
      <c r="O223" s="518"/>
      <c r="P223" s="19"/>
      <c r="Q223" s="19"/>
      <c r="R223" s="16"/>
      <c r="AB223" s="16" t="s">
        <v>73</v>
      </c>
      <c r="AC223" s="16" t="s">
        <v>194</v>
      </c>
      <c r="AD223" s="16" t="s">
        <v>195</v>
      </c>
      <c r="AE223" s="16" t="s">
        <v>196</v>
      </c>
      <c r="AF223" s="16" t="s">
        <v>197</v>
      </c>
    </row>
    <row r="224" spans="1:32" ht="12" customHeight="1" x14ac:dyDescent="0.25">
      <c r="A224" s="506"/>
      <c r="B224" s="554"/>
      <c r="C224" s="555"/>
      <c r="D224" s="556"/>
      <c r="E224" s="536" t="s">
        <v>38</v>
      </c>
      <c r="F224" s="527" t="s">
        <v>53</v>
      </c>
      <c r="G224" s="538" t="s">
        <v>52</v>
      </c>
      <c r="H224" s="506"/>
      <c r="I224" s="21" t="s">
        <v>198</v>
      </c>
      <c r="J224" s="515">
        <f>IF(G224="冬型結露",$U$3,60)</f>
        <v>60</v>
      </c>
      <c r="K224" s="516"/>
      <c r="L224" s="506"/>
      <c r="M224" s="21" t="s">
        <v>198</v>
      </c>
      <c r="N224" s="515">
        <f>IF(G224="夏型結露",VLOOKUP(F224,$S$16:$U$19,3,FALSE),VLOOKUP(E224,$S$5:$U$12,3,FALSE))</f>
        <v>70</v>
      </c>
      <c r="O224" s="516"/>
      <c r="P224" s="22"/>
      <c r="Q224" s="22"/>
      <c r="R224" s="16"/>
      <c r="S224" s="56"/>
      <c r="U224" s="13"/>
      <c r="W224" s="56"/>
      <c r="Y224" s="13"/>
      <c r="AD224" s="26">
        <v>0</v>
      </c>
      <c r="AE224" s="26">
        <f>J223</f>
        <v>15</v>
      </c>
      <c r="AF224" s="26">
        <f>237.3/((7.5/LOG10(J225/611))-1)</f>
        <v>7.3061185391618908</v>
      </c>
    </row>
    <row r="225" spans="1:32" ht="12" customHeight="1" x14ac:dyDescent="0.25">
      <c r="A225" s="507"/>
      <c r="B225" s="557"/>
      <c r="C225" s="558"/>
      <c r="D225" s="559"/>
      <c r="E225" s="537"/>
      <c r="F225" s="528"/>
      <c r="G225" s="539"/>
      <c r="H225" s="507"/>
      <c r="I225" s="27" t="s">
        <v>201</v>
      </c>
      <c r="J225" s="513">
        <f>EXP(-6096.938/(J223+273.15)+21.2409642-2.711193*10^-2*(J223+273.15)+1.673952*10^-5*(J223+273.15)^2+2.433502*LN((J223+273.15)))*J224/100</f>
        <v>1023.4297740044822</v>
      </c>
      <c r="K225" s="514"/>
      <c r="L225" s="507"/>
      <c r="M225" s="28" t="s">
        <v>201</v>
      </c>
      <c r="N225" s="513">
        <f>EXP(-6096.938/(N223+273.15)+21.2409642-2.711193*10^-2*(N223+273.15)+1.673952*10^-5*(N223+273.15)^2+2.433502*LN((N223+273.15)))*N224/100</f>
        <v>553.64452322424734</v>
      </c>
      <c r="O225" s="514"/>
      <c r="P225" s="29"/>
      <c r="Q225" s="29"/>
      <c r="R225" s="30"/>
      <c r="T225" s="16"/>
      <c r="X225" s="16"/>
      <c r="AD225" s="26">
        <v>47</v>
      </c>
      <c r="AE225" s="26">
        <f>J223</f>
        <v>15</v>
      </c>
      <c r="AF225" s="26">
        <f>237.3/((7.5/LOG10(J225/611))-1)</f>
        <v>7.3061185391618908</v>
      </c>
    </row>
    <row r="226" spans="1:32" ht="12" customHeight="1" x14ac:dyDescent="0.25">
      <c r="A226" s="506" t="s">
        <v>286</v>
      </c>
      <c r="B226" s="564" t="s">
        <v>296</v>
      </c>
      <c r="C226" s="565"/>
      <c r="D226" s="35" t="s">
        <v>293</v>
      </c>
      <c r="E226" s="33" t="s">
        <v>203</v>
      </c>
      <c r="F226" s="36" t="s">
        <v>294</v>
      </c>
      <c r="G226" s="37" t="s">
        <v>295</v>
      </c>
      <c r="H226" s="37" t="s">
        <v>204</v>
      </c>
      <c r="I226" s="34" t="s">
        <v>196</v>
      </c>
      <c r="J226" s="34" t="s">
        <v>197</v>
      </c>
      <c r="K226" s="35" t="s">
        <v>205</v>
      </c>
      <c r="L226" s="36" t="s">
        <v>201</v>
      </c>
      <c r="M226" s="498" t="s">
        <v>206</v>
      </c>
      <c r="N226" s="480" t="s">
        <v>124</v>
      </c>
      <c r="O226" s="480" t="s">
        <v>207</v>
      </c>
      <c r="P226" s="38" t="s">
        <v>568</v>
      </c>
      <c r="Q226" s="38" t="s">
        <v>569</v>
      </c>
      <c r="R226" s="30"/>
      <c r="S226" s="56"/>
      <c r="T226" s="73"/>
      <c r="W226" s="56"/>
      <c r="X226" s="73"/>
      <c r="AB226" s="16" t="s">
        <v>209</v>
      </c>
      <c r="AC226" s="13">
        <v>50</v>
      </c>
      <c r="AD226" s="26">
        <f>AC226</f>
        <v>50</v>
      </c>
      <c r="AE226" s="26">
        <f>I228</f>
        <v>9.3000000000000007</v>
      </c>
      <c r="AF226" s="26">
        <f>J228</f>
        <v>7.1525963981427259</v>
      </c>
    </row>
    <row r="227" spans="1:32" ht="12" customHeight="1" x14ac:dyDescent="0.25">
      <c r="A227" s="507"/>
      <c r="B227" s="566"/>
      <c r="C227" s="567"/>
      <c r="D227" s="42" t="s">
        <v>125</v>
      </c>
      <c r="E227" s="40" t="s">
        <v>210</v>
      </c>
      <c r="F227" s="43" t="s">
        <v>211</v>
      </c>
      <c r="G227" s="44" t="s">
        <v>212</v>
      </c>
      <c r="H227" s="44" t="s">
        <v>213</v>
      </c>
      <c r="I227" s="41" t="s">
        <v>214</v>
      </c>
      <c r="J227" s="41" t="s">
        <v>215</v>
      </c>
      <c r="K227" s="42" t="s">
        <v>216</v>
      </c>
      <c r="L227" s="43" t="s">
        <v>216</v>
      </c>
      <c r="M227" s="499"/>
      <c r="N227" s="44" t="s">
        <v>113</v>
      </c>
      <c r="O227" s="44" t="s">
        <v>217</v>
      </c>
      <c r="P227" s="44" t="s">
        <v>217</v>
      </c>
      <c r="Q227" s="44" t="s">
        <v>570</v>
      </c>
      <c r="R227" s="16"/>
      <c r="S227" s="56"/>
      <c r="T227" s="73"/>
      <c r="V227" s="74"/>
      <c r="W227" s="56"/>
      <c r="X227" s="73"/>
      <c r="Z227" s="74"/>
      <c r="AB227" s="16">
        <v>1</v>
      </c>
      <c r="AC227" s="45">
        <f>F229</f>
        <v>0</v>
      </c>
      <c r="AD227" s="26">
        <f>AC227+AD226</f>
        <v>50</v>
      </c>
      <c r="AE227" s="26">
        <f>I230</f>
        <v>9.3000000000000007</v>
      </c>
      <c r="AF227" s="26">
        <f>J230</f>
        <v>7.1525963981427259</v>
      </c>
    </row>
    <row r="228" spans="1:32" ht="12" customHeight="1" x14ac:dyDescent="0.25">
      <c r="A228" s="475" t="s">
        <v>186</v>
      </c>
      <c r="B228" s="540" t="s">
        <v>218</v>
      </c>
      <c r="C228" s="541"/>
      <c r="D228" s="542" t="str">
        <f>F224</f>
        <v>外壁</v>
      </c>
      <c r="E228" s="543"/>
      <c r="F228" s="544"/>
      <c r="G228" s="481">
        <f>IF(F224="屋根",0.09,IF(F224="外壁",0.11,IF(F224="天井",0.09,0.15)))</f>
        <v>0.11</v>
      </c>
      <c r="H228" s="482">
        <f>IF(F224="屋根",0.042,IF(F224="外壁",0.042,IF(F224="天井",0.042,0.042)))*3600*10^-9/760*1.013*10^5</f>
        <v>2.0153368421052633E-5</v>
      </c>
      <c r="I228" s="560">
        <f>J223-(J223-N223)*G228/F254</f>
        <v>9.3000000000000007</v>
      </c>
      <c r="J228" s="561">
        <f>237.3/((7.5/LOG10(L228/611))-1)</f>
        <v>7.1525963981427259</v>
      </c>
      <c r="K228" s="529">
        <f>EXP(-6096.938/(I228+273.15)+21.2409642-2.711193*10^-2*(I228+273.15)+1.673952*10^-5*(I228+273.15)^2+2.433502*LN((I228+273.15)))</f>
        <v>1171.7052017269605</v>
      </c>
      <c r="L228" s="530">
        <f>J225-(J225-N225)*H228/F259</f>
        <v>1012.7180581886462</v>
      </c>
      <c r="M228" s="512" t="str">
        <f>IF(L228/K228&lt;1,"○","×")</f>
        <v>○</v>
      </c>
      <c r="N228" s="500">
        <f>IF(L228/K228&gt;1,1,L228/K228)</f>
        <v>0.86431131029888297</v>
      </c>
      <c r="O228" s="501">
        <f>EXP(1.32774+7.80136*10^-2*I228-2.87894*10^-4*I228^2+1.36152*10^-6*I228^3+3.49024*10^-9*I228^4-4.87306*10^-3*ABS(I228))</f>
        <v>7.2729961141877615</v>
      </c>
      <c r="P228" s="497">
        <f>O228*N228</f>
        <v>6.2861328012523083</v>
      </c>
      <c r="Q228" s="497">
        <f>1.005*I228+(O228/1000)*(2501.1+1.846*I228)</f>
        <v>27.661851923884161</v>
      </c>
      <c r="R228" s="16"/>
      <c r="S228" s="82"/>
      <c r="T228" s="82"/>
      <c r="U228" s="13"/>
      <c r="V228" s="13"/>
      <c r="W228" s="82"/>
      <c r="X228" s="82"/>
      <c r="Y228" s="13"/>
      <c r="Z228" s="13"/>
      <c r="AB228" s="16">
        <v>2</v>
      </c>
      <c r="AC228" s="45">
        <f>F231</f>
        <v>0</v>
      </c>
      <c r="AD228" s="26">
        <f>AD227+AC228</f>
        <v>50</v>
      </c>
      <c r="AE228" s="26">
        <f>I232</f>
        <v>9.3000000000000007</v>
      </c>
      <c r="AF228" s="26">
        <f>J232</f>
        <v>7.1525963981427259</v>
      </c>
    </row>
    <row r="229" spans="1:32" ht="12" customHeight="1" x14ac:dyDescent="0.25">
      <c r="A229" s="545" t="s">
        <v>119</v>
      </c>
      <c r="B229" s="547"/>
      <c r="C229" s="548"/>
      <c r="D229" s="534" t="str">
        <f>IF(B229="","",VLOOKUP(B229,素材データ!$A$5:$AA$384,2,FALSE))</f>
        <v/>
      </c>
      <c r="E229" s="534" t="str">
        <f>IF(B229="","",VLOOKUP(B229,素材データ!$A$5:$AA$384,4,FALSE))</f>
        <v/>
      </c>
      <c r="F229" s="523"/>
      <c r="G229" s="525">
        <f>IF(D229="",0,IF(D229=0,VLOOKUP(B229,素材データ!$A$5:$AA$364,9,FALSE),IF(D229=0,0,F229/D229/1000)))</f>
        <v>0</v>
      </c>
      <c r="H229" s="532">
        <f>IF(E229="",0,IF(E229=0,VLOOKUP(B229,素材データ!$A$5:$AA$364,11,FALSE),E229*F229/1000))</f>
        <v>0</v>
      </c>
      <c r="I229" s="531"/>
      <c r="J229" s="520"/>
      <c r="K229" s="519"/>
      <c r="L229" s="504"/>
      <c r="M229" s="495"/>
      <c r="N229" s="494"/>
      <c r="O229" s="496"/>
      <c r="P229" s="496"/>
      <c r="Q229" s="496"/>
      <c r="AB229" s="16">
        <v>3</v>
      </c>
      <c r="AC229" s="45">
        <f>F233</f>
        <v>0</v>
      </c>
      <c r="AD229" s="26">
        <f>AD228+AC229</f>
        <v>50</v>
      </c>
      <c r="AE229" s="26">
        <f>I234</f>
        <v>9.3000000000000007</v>
      </c>
      <c r="AF229" s="26">
        <f>J234</f>
        <v>7.1525963981427259</v>
      </c>
    </row>
    <row r="230" spans="1:32" ht="12" customHeight="1" x14ac:dyDescent="0.25">
      <c r="A230" s="546"/>
      <c r="B230" s="549"/>
      <c r="C230" s="550"/>
      <c r="D230" s="535"/>
      <c r="E230" s="535"/>
      <c r="F230" s="524"/>
      <c r="G230" s="526"/>
      <c r="H230" s="533"/>
      <c r="I230" s="531">
        <f>J223-(J223-N223)*(G228+G229)/F254</f>
        <v>9.3000000000000007</v>
      </c>
      <c r="J230" s="520">
        <f>237.3/((7.5/LOG10(L230/611))-1)</f>
        <v>7.1525963981427259</v>
      </c>
      <c r="K230" s="519">
        <f>EXP(-6096.938/(I230+273.15)+21.2409642-2.711193*10^-2*(I230+273.15)+1.673952*10^-5*(I230+273.15)^2+2.433502*LN((I230+273.15)))</f>
        <v>1171.7052017269605</v>
      </c>
      <c r="L230" s="504">
        <f>J225-(J225-N225)*(H228+H229)/F259</f>
        <v>1012.7180581886462</v>
      </c>
      <c r="M230" s="495" t="str">
        <f>IF(L230/K230&lt;1,"○","×")</f>
        <v>○</v>
      </c>
      <c r="N230" s="494">
        <f>IF(L230/K230&gt;1,1,L230/K230)</f>
        <v>0.86431131029888297</v>
      </c>
      <c r="O230" s="496">
        <f>EXP(1.32774+7.80136*10^-2*I230-2.87894*10^-4*I230^2+1.36152*10^-6*I230^3+3.49024*10^-9*I230^4-4.87306*10^-3*ABS(I230))</f>
        <v>7.2729961141877615</v>
      </c>
      <c r="P230" s="497">
        <f t="shared" ref="P230" si="125">O230*N230</f>
        <v>6.2861328012523083</v>
      </c>
      <c r="Q230" s="497">
        <f t="shared" ref="Q230" si="126">1.005*I230+(O230/1000)*(2501.1+1.846*I230)</f>
        <v>27.661851923884161</v>
      </c>
      <c r="AB230" s="16">
        <v>4</v>
      </c>
      <c r="AC230" s="45">
        <f>F235</f>
        <v>0</v>
      </c>
      <c r="AD230" s="26">
        <f t="shared" ref="AD230:AD240" si="127">AD229+AC230</f>
        <v>50</v>
      </c>
      <c r="AE230" s="26">
        <f>I236</f>
        <v>9.3000000000000007</v>
      </c>
      <c r="AF230" s="26">
        <f>J236</f>
        <v>7.1525963981427259</v>
      </c>
    </row>
    <row r="231" spans="1:32" ht="12" customHeight="1" x14ac:dyDescent="0.25">
      <c r="A231" s="545" t="s">
        <v>120</v>
      </c>
      <c r="B231" s="547"/>
      <c r="C231" s="548"/>
      <c r="D231" s="534" t="str">
        <f>IF(B231="","",VLOOKUP(B231,素材データ!$A$5:$AA$384,2,FALSE))</f>
        <v/>
      </c>
      <c r="E231" s="534" t="str">
        <f>IF(B231="","",VLOOKUP(B231,素材データ!$A$5:$AA$384,4,FALSE))</f>
        <v/>
      </c>
      <c r="F231" s="523"/>
      <c r="G231" s="525">
        <f>IF(D231="",0,IF(D231=0,VLOOKUP(B231,素材データ!$A$5:$AA$364,9,FALSE),IF(D231=0,0,F231/D231/1000)))</f>
        <v>0</v>
      </c>
      <c r="H231" s="532">
        <f>IF(E231="",0,IF(E231=0,VLOOKUP(B231,素材データ!$A$5:$AA$364,11,FALSE),E231*F231/1000))</f>
        <v>0</v>
      </c>
      <c r="I231" s="531"/>
      <c r="J231" s="520"/>
      <c r="K231" s="519"/>
      <c r="L231" s="504"/>
      <c r="M231" s="495"/>
      <c r="N231" s="494"/>
      <c r="O231" s="496"/>
      <c r="P231" s="496"/>
      <c r="Q231" s="496"/>
      <c r="AB231" s="16">
        <v>5</v>
      </c>
      <c r="AC231" s="45">
        <f>F237</f>
        <v>0</v>
      </c>
      <c r="AD231" s="26">
        <f t="shared" si="127"/>
        <v>50</v>
      </c>
      <c r="AE231" s="26">
        <f>I238</f>
        <v>9.3000000000000007</v>
      </c>
      <c r="AF231" s="26">
        <f>J238</f>
        <v>7.1525963981427259</v>
      </c>
    </row>
    <row r="232" spans="1:32" ht="12" customHeight="1" x14ac:dyDescent="0.25">
      <c r="A232" s="546"/>
      <c r="B232" s="549"/>
      <c r="C232" s="550"/>
      <c r="D232" s="535"/>
      <c r="E232" s="535"/>
      <c r="F232" s="524"/>
      <c r="G232" s="526"/>
      <c r="H232" s="533"/>
      <c r="I232" s="531">
        <f>J223-(J223-N223)*(G228+G229+G231)/F254</f>
        <v>9.3000000000000007</v>
      </c>
      <c r="J232" s="520">
        <f>237.3/((7.5/LOG10(L232/611))-1)</f>
        <v>7.1525963981427259</v>
      </c>
      <c r="K232" s="519">
        <f>EXP(-6096.938/(I232+273.15)+21.2409642-2.711193*10^-2*(I232+273.15)+1.673952*10^-5*(I232+273.15)^2+2.433502*LN((I232+273.15)))</f>
        <v>1171.7052017269605</v>
      </c>
      <c r="L232" s="504">
        <f>J225-(J225-N225)*(H228+H229+H231)/F259</f>
        <v>1012.7180581886462</v>
      </c>
      <c r="M232" s="495" t="str">
        <f>IF(L232/K232&lt;1,"○","×")</f>
        <v>○</v>
      </c>
      <c r="N232" s="494">
        <f>IF(L232/K232&gt;1,1,L232/K232)</f>
        <v>0.86431131029888297</v>
      </c>
      <c r="O232" s="496">
        <f>EXP(1.32774+7.80136*10^-2*I232-2.87894*10^-4*I232^2+1.36152*10^-6*I232^3+3.49024*10^-9*I232^4-4.87306*10^-3*ABS(I232))</f>
        <v>7.2729961141877615</v>
      </c>
      <c r="P232" s="497">
        <f t="shared" ref="P232" si="128">O232*N232</f>
        <v>6.2861328012523083</v>
      </c>
      <c r="Q232" s="497">
        <f t="shared" ref="Q232" si="129">1.005*I232+(O232/1000)*(2501.1+1.846*I232)</f>
        <v>27.661851923884161</v>
      </c>
      <c r="AB232" s="16">
        <v>6</v>
      </c>
      <c r="AC232" s="45">
        <f>F239</f>
        <v>0</v>
      </c>
      <c r="AD232" s="26">
        <f t="shared" si="127"/>
        <v>50</v>
      </c>
      <c r="AE232" s="26">
        <f>I240</f>
        <v>9.3000000000000007</v>
      </c>
      <c r="AF232" s="26">
        <f>J240</f>
        <v>7.1525963981427259</v>
      </c>
    </row>
    <row r="233" spans="1:32" ht="12" customHeight="1" x14ac:dyDescent="0.25">
      <c r="A233" s="545" t="s">
        <v>121</v>
      </c>
      <c r="B233" s="547"/>
      <c r="C233" s="548"/>
      <c r="D233" s="534" t="str">
        <f>IF(B233="","",VLOOKUP(B233,素材データ!$A$5:$AA$384,2,FALSE))</f>
        <v/>
      </c>
      <c r="E233" s="534" t="str">
        <f>IF(B233="","",VLOOKUP(B233,素材データ!$A$5:$AA$384,4,FALSE))</f>
        <v/>
      </c>
      <c r="F233" s="523"/>
      <c r="G233" s="525">
        <f>IF(D233="",0,IF(D233=0,VLOOKUP(B233,素材データ!$A$5:$AA$364,9,FALSE),IF(D233=0,0,F233/D233/1000)))</f>
        <v>0</v>
      </c>
      <c r="H233" s="532">
        <f>IF(E233="",0,IF(E233=0,VLOOKUP(B233,素材データ!$A$5:$AA$364,11,FALSE),E233*F233/1000))</f>
        <v>0</v>
      </c>
      <c r="I233" s="531"/>
      <c r="J233" s="520"/>
      <c r="K233" s="519"/>
      <c r="L233" s="504"/>
      <c r="M233" s="495"/>
      <c r="N233" s="494"/>
      <c r="O233" s="496"/>
      <c r="P233" s="496"/>
      <c r="Q233" s="496"/>
      <c r="AB233" s="16">
        <v>7</v>
      </c>
      <c r="AC233" s="45">
        <f>F241</f>
        <v>0</v>
      </c>
      <c r="AD233" s="26">
        <f t="shared" si="127"/>
        <v>50</v>
      </c>
      <c r="AE233" s="26">
        <f>I242</f>
        <v>9.3000000000000007</v>
      </c>
      <c r="AF233" s="26">
        <f>J242</f>
        <v>7.1525963981427259</v>
      </c>
    </row>
    <row r="234" spans="1:32" ht="12" customHeight="1" x14ac:dyDescent="0.25">
      <c r="A234" s="546"/>
      <c r="B234" s="549"/>
      <c r="C234" s="550"/>
      <c r="D234" s="535"/>
      <c r="E234" s="535"/>
      <c r="F234" s="524"/>
      <c r="G234" s="526"/>
      <c r="H234" s="533"/>
      <c r="I234" s="531">
        <f>J223-(J223-N223)*(G228+G229+G231+G233)/F254</f>
        <v>9.3000000000000007</v>
      </c>
      <c r="J234" s="520">
        <f>237.3/((7.5/LOG10(L234/611))-1)</f>
        <v>7.1525963981427259</v>
      </c>
      <c r="K234" s="519">
        <f>EXP(-6096.938/(I234+273.15)+21.2409642-2.711193*10^-2*(I234+273.15)+1.673952*10^-5*(I234+273.15)^2+2.433502*LN((I234+273.15)))</f>
        <v>1171.7052017269605</v>
      </c>
      <c r="L234" s="504">
        <f>J225-(J225-N225)*(H228+H229+H231+H233)/F259</f>
        <v>1012.7180581886462</v>
      </c>
      <c r="M234" s="495" t="str">
        <f>IF(L234/K234&lt;1,"○","×")</f>
        <v>○</v>
      </c>
      <c r="N234" s="494">
        <f>IF(L234/K234&gt;1,1,L234/K234)</f>
        <v>0.86431131029888297</v>
      </c>
      <c r="O234" s="496">
        <f>EXP(1.32774+7.80136*10^-2*I234-2.87894*10^-4*I234^2+1.36152*10^-6*I234^3+3.49024*10^-9*I234^4-4.87306*10^-3*ABS(I234))</f>
        <v>7.2729961141877615</v>
      </c>
      <c r="P234" s="497">
        <f t="shared" ref="P234" si="130">O234*N234</f>
        <v>6.2861328012523083</v>
      </c>
      <c r="Q234" s="497">
        <f t="shared" ref="Q234" si="131">1.005*I234+(O234/1000)*(2501.1+1.846*I234)</f>
        <v>27.661851923884161</v>
      </c>
      <c r="AB234" s="16">
        <v>8</v>
      </c>
      <c r="AC234" s="45">
        <f>F243</f>
        <v>0</v>
      </c>
      <c r="AD234" s="26">
        <f t="shared" si="127"/>
        <v>50</v>
      </c>
      <c r="AE234" s="26">
        <f>I244</f>
        <v>9.3000000000000007</v>
      </c>
      <c r="AF234" s="26">
        <f>J244</f>
        <v>7.1525963981427259</v>
      </c>
    </row>
    <row r="235" spans="1:32" ht="12" customHeight="1" x14ac:dyDescent="0.25">
      <c r="A235" s="545" t="s">
        <v>122</v>
      </c>
      <c r="B235" s="547"/>
      <c r="C235" s="548"/>
      <c r="D235" s="534" t="str">
        <f>IF(B235="","",VLOOKUP(B235,素材データ!$A$5:$AA$384,2,FALSE))</f>
        <v/>
      </c>
      <c r="E235" s="534" t="str">
        <f>IF(B235="","",VLOOKUP(B235,素材データ!$A$5:$AA$384,4,FALSE))</f>
        <v/>
      </c>
      <c r="F235" s="523"/>
      <c r="G235" s="525">
        <f>IF(D235="",0,IF(D235=0,VLOOKUP(B235,素材データ!$A$5:$AA$364,9,FALSE),IF(D235=0,0,F235/D235/1000)))</f>
        <v>0</v>
      </c>
      <c r="H235" s="532">
        <f>IF(E235="",0,IF(E235=0,VLOOKUP(B235,素材データ!$A$5:$AA$364,11,FALSE),E235*F235/1000))</f>
        <v>0</v>
      </c>
      <c r="I235" s="531"/>
      <c r="J235" s="520"/>
      <c r="K235" s="519"/>
      <c r="L235" s="504"/>
      <c r="M235" s="495"/>
      <c r="N235" s="494"/>
      <c r="O235" s="496"/>
      <c r="P235" s="496"/>
      <c r="Q235" s="496"/>
      <c r="AB235" s="16">
        <v>9</v>
      </c>
      <c r="AC235" s="45">
        <f>F245</f>
        <v>0</v>
      </c>
      <c r="AD235" s="26">
        <f t="shared" si="127"/>
        <v>50</v>
      </c>
      <c r="AE235" s="26">
        <f>I246</f>
        <v>9.3000000000000007</v>
      </c>
      <c r="AF235" s="26">
        <f>J246</f>
        <v>7.1525963981427259</v>
      </c>
    </row>
    <row r="236" spans="1:32" ht="12" customHeight="1" x14ac:dyDescent="0.25">
      <c r="A236" s="546"/>
      <c r="B236" s="549"/>
      <c r="C236" s="550"/>
      <c r="D236" s="535"/>
      <c r="E236" s="535"/>
      <c r="F236" s="524"/>
      <c r="G236" s="526"/>
      <c r="H236" s="533"/>
      <c r="I236" s="531">
        <f>J223-(J223-N223)*(G228+G229+G231+G233+G235)/F254</f>
        <v>9.3000000000000007</v>
      </c>
      <c r="J236" s="520">
        <f>237.3/((7.5/LOG10(L236/611))-1)</f>
        <v>7.1525963981427259</v>
      </c>
      <c r="K236" s="519">
        <f>EXP(-6096.938/(I236+273.15)+21.2409642-2.711193*10^-2*(I236+273.15)+1.673952*10^-5*(I236+273.15)^2+2.433502*LN((I236+273.15)))</f>
        <v>1171.7052017269605</v>
      </c>
      <c r="L236" s="504">
        <f>J225-(J225-N225)*(H228+H229+H231+H233+H235)/F259</f>
        <v>1012.7180581886462</v>
      </c>
      <c r="M236" s="495" t="str">
        <f>IF(L236/K236&lt;1,"○","×")</f>
        <v>○</v>
      </c>
      <c r="N236" s="494">
        <f>IF(L236/K236&gt;1,1,L236/K236)</f>
        <v>0.86431131029888297</v>
      </c>
      <c r="O236" s="496">
        <f>EXP(1.32774+7.80136*10^-2*I236-2.87894*10^-4*I236^2+1.36152*10^-6*I236^3+3.49024*10^-9*I236^4-4.87306*10^-3*ABS(I236))</f>
        <v>7.2729961141877615</v>
      </c>
      <c r="P236" s="497">
        <f t="shared" ref="P236" si="132">O236*N236</f>
        <v>6.2861328012523083</v>
      </c>
      <c r="Q236" s="497">
        <f t="shared" ref="Q236" si="133">1.005*I236+(O236/1000)*(2501.1+1.846*I236)</f>
        <v>27.661851923884161</v>
      </c>
      <c r="AB236" s="16">
        <v>10</v>
      </c>
      <c r="AC236" s="45">
        <f>F247</f>
        <v>0</v>
      </c>
      <c r="AD236" s="26">
        <f t="shared" si="127"/>
        <v>50</v>
      </c>
      <c r="AE236" s="26">
        <f>I248</f>
        <v>9.3000000000000007</v>
      </c>
      <c r="AF236" s="26">
        <f>J248</f>
        <v>7.1525963981427259</v>
      </c>
    </row>
    <row r="237" spans="1:32" ht="12" customHeight="1" x14ac:dyDescent="0.25">
      <c r="A237" s="545" t="s">
        <v>123</v>
      </c>
      <c r="B237" s="547"/>
      <c r="C237" s="548"/>
      <c r="D237" s="534" t="str">
        <f>IF(B237="","",VLOOKUP(B237,素材データ!$A$5:$AA$384,2,FALSE))</f>
        <v/>
      </c>
      <c r="E237" s="534" t="str">
        <f>IF(B237="","",VLOOKUP(B237,素材データ!$A$5:$AA$384,4,FALSE))</f>
        <v/>
      </c>
      <c r="F237" s="523"/>
      <c r="G237" s="525">
        <f>IF(D237="",0,IF(D237=0,VLOOKUP(B237,素材データ!$A$5:$AA$364,9,FALSE),IF(D237=0,0,F237/D237/1000)))</f>
        <v>0</v>
      </c>
      <c r="H237" s="532">
        <f>IF(E237="",0,IF(E237=0,VLOOKUP(B237,素材データ!$A$5:$AA$364,11,FALSE),E237*F237/1000))</f>
        <v>0</v>
      </c>
      <c r="I237" s="531"/>
      <c r="J237" s="520"/>
      <c r="K237" s="519"/>
      <c r="L237" s="504"/>
      <c r="M237" s="495"/>
      <c r="N237" s="494"/>
      <c r="O237" s="496"/>
      <c r="P237" s="496"/>
      <c r="Q237" s="496"/>
      <c r="AB237" s="16">
        <v>11</v>
      </c>
      <c r="AC237" s="45">
        <f>F249</f>
        <v>0</v>
      </c>
      <c r="AD237" s="26">
        <f t="shared" si="127"/>
        <v>50</v>
      </c>
      <c r="AE237" s="26">
        <f>I250</f>
        <v>9.3000000000000007</v>
      </c>
      <c r="AF237" s="26">
        <f>J250</f>
        <v>7.1525963981427259</v>
      </c>
    </row>
    <row r="238" spans="1:32" ht="12" customHeight="1" x14ac:dyDescent="0.25">
      <c r="A238" s="546"/>
      <c r="B238" s="549"/>
      <c r="C238" s="550"/>
      <c r="D238" s="535"/>
      <c r="E238" s="535"/>
      <c r="F238" s="524"/>
      <c r="G238" s="526"/>
      <c r="H238" s="533"/>
      <c r="I238" s="531">
        <f>J223-(J223-N223)*(G228+G229+G231+G233+G235+G237)/F254</f>
        <v>9.3000000000000007</v>
      </c>
      <c r="J238" s="520">
        <f>237.3/((7.5/LOG10(L238/611))-1)</f>
        <v>7.1525963981427259</v>
      </c>
      <c r="K238" s="519">
        <f>EXP(-6096.938/(I238+273.15)+21.2409642-2.711193*10^-2*(I238+273.15)+1.673952*10^-5*(I238+273.15)^2+2.433502*LN((I238+273.15)))</f>
        <v>1171.7052017269605</v>
      </c>
      <c r="L238" s="504">
        <f>J225-(J225-N225)*(H228+H229+H231+H233+H235+H237)/F259</f>
        <v>1012.7180581886462</v>
      </c>
      <c r="M238" s="495" t="str">
        <f>IF(L238/K238&lt;1,"○","×")</f>
        <v>○</v>
      </c>
      <c r="N238" s="494">
        <f>IF(L238/K238&gt;1,1,L238/K238)</f>
        <v>0.86431131029888297</v>
      </c>
      <c r="O238" s="496">
        <f>EXP(1.32774+7.80136*10^-2*I238-2.87894*10^-4*I238^2+1.36152*10^-6*I238^3+3.49024*10^-9*I238^4-4.87306*10^-3*ABS(I238))</f>
        <v>7.2729961141877615</v>
      </c>
      <c r="P238" s="497">
        <f t="shared" ref="P238" si="134">O238*N238</f>
        <v>6.2861328012523083</v>
      </c>
      <c r="Q238" s="497">
        <f t="shared" ref="Q238" si="135">1.005*I238+(O238/1000)*(2501.1+1.846*I238)</f>
        <v>27.661851923884161</v>
      </c>
      <c r="AB238" s="16">
        <v>12</v>
      </c>
      <c r="AC238" s="45">
        <f>F251</f>
        <v>0</v>
      </c>
      <c r="AD238" s="26">
        <f t="shared" si="127"/>
        <v>50</v>
      </c>
      <c r="AE238" s="26">
        <f>I252</f>
        <v>9.3000000000000007</v>
      </c>
      <c r="AF238" s="26">
        <f>J252</f>
        <v>7.1525963981427259</v>
      </c>
    </row>
    <row r="239" spans="1:32" ht="12" customHeight="1" x14ac:dyDescent="0.25">
      <c r="A239" s="545" t="s">
        <v>300</v>
      </c>
      <c r="B239" s="547"/>
      <c r="C239" s="548"/>
      <c r="D239" s="534" t="str">
        <f>IF(B239="","",VLOOKUP(B239,素材データ!$A$5:$AA$384,2,FALSE))</f>
        <v/>
      </c>
      <c r="E239" s="534" t="str">
        <f>IF(B239="","",VLOOKUP(B239,素材データ!$A$5:$AA$384,4,FALSE))</f>
        <v/>
      </c>
      <c r="F239" s="523"/>
      <c r="G239" s="525">
        <f>IF(D239="",0,IF(D239=0,VLOOKUP(B239,素材データ!$A$5:$AA$364,9,FALSE),IF(D239=0,0,F239/D239/1000)))</f>
        <v>0</v>
      </c>
      <c r="H239" s="532">
        <f>IF(E239="",0,IF(E239=0,VLOOKUP(B239,素材データ!$A$5:$AA$364,11,FALSE),E239*F239/1000))</f>
        <v>0</v>
      </c>
      <c r="I239" s="531"/>
      <c r="J239" s="520"/>
      <c r="K239" s="519"/>
      <c r="L239" s="504"/>
      <c r="M239" s="495"/>
      <c r="N239" s="494"/>
      <c r="O239" s="496"/>
      <c r="P239" s="496"/>
      <c r="Q239" s="496"/>
      <c r="AB239" s="16" t="s">
        <v>63</v>
      </c>
      <c r="AC239" s="45">
        <f>IF(E253="通気層工法(9mm以上)",9,IF(E253="通気層工法(18mm以上)",18,0))</f>
        <v>18</v>
      </c>
      <c r="AD239" s="26">
        <f t="shared" si="127"/>
        <v>68</v>
      </c>
      <c r="AE239" s="26">
        <f>N223</f>
        <v>3.6</v>
      </c>
      <c r="AF239" s="26">
        <f>237.3/((7.5/LOG10(N225/611))-1)</f>
        <v>-1.3468270695015434</v>
      </c>
    </row>
    <row r="240" spans="1:32" ht="12" customHeight="1" x14ac:dyDescent="0.25">
      <c r="A240" s="546"/>
      <c r="B240" s="549"/>
      <c r="C240" s="550"/>
      <c r="D240" s="535"/>
      <c r="E240" s="535"/>
      <c r="F240" s="524"/>
      <c r="G240" s="526"/>
      <c r="H240" s="533"/>
      <c r="I240" s="531">
        <f>J223-(J223-N223)*(G228+G229+G231+G233+G235+G237+G239)/F254</f>
        <v>9.3000000000000007</v>
      </c>
      <c r="J240" s="520">
        <f>237.3/((7.5/LOG10(L240/611))-1)</f>
        <v>7.1525963981427259</v>
      </c>
      <c r="K240" s="519">
        <f>EXP(-6096.938/(I240+273.15)+21.2409642-2.711193*10^-2*(I240+273.15)+1.673952*10^-5*(I240+273.15)^2+2.433502*LN((I240+273.15)))</f>
        <v>1171.7052017269605</v>
      </c>
      <c r="L240" s="504">
        <f>J225-(J225-N225)*(H228+H229+H231+H233+H235+H237+H239)/F259</f>
        <v>1012.7180581886462</v>
      </c>
      <c r="M240" s="495" t="str">
        <f>IF(L240/K240&lt;1,"○","×")</f>
        <v>○</v>
      </c>
      <c r="N240" s="494">
        <f>IF(L240/K240&gt;1,1,L240/K240)</f>
        <v>0.86431131029888297</v>
      </c>
      <c r="O240" s="496">
        <f>EXP(1.32774+7.80136*10^-2*I240-2.87894*10^-4*I240^2+1.36152*10^-6*I240^3+3.49024*10^-9*I240^4-4.87306*10^-3*ABS(I240))</f>
        <v>7.2729961141877615</v>
      </c>
      <c r="P240" s="497">
        <f t="shared" ref="P240" si="136">O240*N240</f>
        <v>6.2861328012523083</v>
      </c>
      <c r="Q240" s="497">
        <f t="shared" ref="Q240" si="137">1.005*I240+(O240/1000)*(2501.1+1.846*I240)</f>
        <v>27.661851923884161</v>
      </c>
      <c r="AC240" s="13">
        <v>50</v>
      </c>
      <c r="AD240" s="26">
        <f t="shared" si="127"/>
        <v>118</v>
      </c>
      <c r="AE240" s="26">
        <f>N223</f>
        <v>3.6</v>
      </c>
      <c r="AF240" s="26">
        <f>237.3/((7.5/LOG10(N225/611))-1)</f>
        <v>-1.3468270695015434</v>
      </c>
    </row>
    <row r="241" spans="1:18" ht="12" customHeight="1" x14ac:dyDescent="0.25">
      <c r="A241" s="545" t="s">
        <v>301</v>
      </c>
      <c r="B241" s="547"/>
      <c r="C241" s="548"/>
      <c r="D241" s="534" t="str">
        <f>IF(B241="","",VLOOKUP(B241,素材データ!$A$5:$AA$384,2,FALSE))</f>
        <v/>
      </c>
      <c r="E241" s="534" t="str">
        <f>IF(B241="","",VLOOKUP(B241,素材データ!$A$5:$AA$384,4,FALSE))</f>
        <v/>
      </c>
      <c r="F241" s="523"/>
      <c r="G241" s="525">
        <f>IF(D241="",0,IF(D241=0,VLOOKUP(B241,素材データ!$A$5:$AA$364,9,FALSE),IF(D241=0,0,F241/D241/1000)))</f>
        <v>0</v>
      </c>
      <c r="H241" s="532">
        <f>IF(E241="",0,IF(E241=0,VLOOKUP(B241,素材データ!$A$5:$AA$364,11,FALSE),E241*F241/1000))</f>
        <v>0</v>
      </c>
      <c r="I241" s="531"/>
      <c r="J241" s="520"/>
      <c r="K241" s="519"/>
      <c r="L241" s="504"/>
      <c r="M241" s="495"/>
      <c r="N241" s="494"/>
      <c r="O241" s="496"/>
      <c r="P241" s="496"/>
      <c r="Q241" s="496"/>
    </row>
    <row r="242" spans="1:18" ht="12" customHeight="1" x14ac:dyDescent="0.25">
      <c r="A242" s="546"/>
      <c r="B242" s="549"/>
      <c r="C242" s="550"/>
      <c r="D242" s="535"/>
      <c r="E242" s="535"/>
      <c r="F242" s="524"/>
      <c r="G242" s="526"/>
      <c r="H242" s="533"/>
      <c r="I242" s="531">
        <f>J223-(J223-N223)*(G228+G229+G231+G233+G235+G237+G239+G241)/F254</f>
        <v>9.3000000000000007</v>
      </c>
      <c r="J242" s="520">
        <f>237.3/((7.5/LOG10(L242/611))-1)</f>
        <v>7.1525963981427259</v>
      </c>
      <c r="K242" s="519">
        <f>EXP(-6096.938/(I242+273.15)+21.2409642-2.711193*10^-2*(I242+273.15)+1.673952*10^-5*(I242+273.15)^2+2.433502*LN((I242+273.15)))</f>
        <v>1171.7052017269605</v>
      </c>
      <c r="L242" s="504">
        <f>J225-(J225-N225)*(H228+H229+H231+H233+H235+H237+H239+H241)/F259</f>
        <v>1012.7180581886462</v>
      </c>
      <c r="M242" s="495" t="str">
        <f>IF(L242/K242&lt;1,"○","×")</f>
        <v>○</v>
      </c>
      <c r="N242" s="494">
        <f>IF(L242/K242&gt;1,1,L242/K242)</f>
        <v>0.86431131029888297</v>
      </c>
      <c r="O242" s="496">
        <f>EXP(1.32774+7.80136*10^-2*I242-2.87894*10^-4*I242^2+1.36152*10^-6*I242^3+3.49024*10^-9*I242^4-4.87306*10^-3*ABS(I242))</f>
        <v>7.2729961141877615</v>
      </c>
      <c r="P242" s="497">
        <f t="shared" ref="P242" si="138">O242*N242</f>
        <v>6.2861328012523083</v>
      </c>
      <c r="Q242" s="497">
        <f t="shared" ref="Q242" si="139">1.005*I242+(O242/1000)*(2501.1+1.846*I242)</f>
        <v>27.661851923884161</v>
      </c>
    </row>
    <row r="243" spans="1:18" ht="12" customHeight="1" x14ac:dyDescent="0.25">
      <c r="A243" s="545" t="s">
        <v>230</v>
      </c>
      <c r="B243" s="547"/>
      <c r="C243" s="548"/>
      <c r="D243" s="534" t="str">
        <f>IF(B243="","",VLOOKUP(B243,素材データ!$A$5:$AA$384,2,FALSE))</f>
        <v/>
      </c>
      <c r="E243" s="534" t="str">
        <f>IF(B243="","",VLOOKUP(B243,素材データ!$A$5:$AA$384,4,FALSE))</f>
        <v/>
      </c>
      <c r="F243" s="523"/>
      <c r="G243" s="525">
        <f>IF(D243="",0,IF(D243=0,VLOOKUP(B243,素材データ!$A$5:$AA$364,9,FALSE),IF(D243=0,0,F243/D243/1000)))</f>
        <v>0</v>
      </c>
      <c r="H243" s="532">
        <f>IF(E243="",0,IF(E243=0,VLOOKUP(B243,素材データ!$A$5:$AA$364,11,FALSE),E243*F243/1000))</f>
        <v>0</v>
      </c>
      <c r="I243" s="531"/>
      <c r="J243" s="520"/>
      <c r="K243" s="519"/>
      <c r="L243" s="504"/>
      <c r="M243" s="495"/>
      <c r="N243" s="494"/>
      <c r="O243" s="496"/>
      <c r="P243" s="496"/>
      <c r="Q243" s="496"/>
    </row>
    <row r="244" spans="1:18" ht="12" customHeight="1" x14ac:dyDescent="0.25">
      <c r="A244" s="546"/>
      <c r="B244" s="549"/>
      <c r="C244" s="550"/>
      <c r="D244" s="535"/>
      <c r="E244" s="535"/>
      <c r="F244" s="524"/>
      <c r="G244" s="526"/>
      <c r="H244" s="533"/>
      <c r="I244" s="531">
        <f>J223-(J223-N223)*(G228+G229+G231+G233+G235+G237+G239+G241+G243)/F254</f>
        <v>9.3000000000000007</v>
      </c>
      <c r="J244" s="520">
        <f>237.3/((7.5/LOG10(L244/611))-1)</f>
        <v>7.1525963981427259</v>
      </c>
      <c r="K244" s="519">
        <f>EXP(-6096.938/(I244+273.15)+21.2409642-2.711193*10^-2*(I244+273.15)+1.673952*10^-5*(I244+273.15)^2+2.433502*LN((I244+273.15)))</f>
        <v>1171.7052017269605</v>
      </c>
      <c r="L244" s="504">
        <f>J225-(J225-N225)*(H228+H229+H231+H233+H235+H237+H239+H241+H243)/F259</f>
        <v>1012.7180581886462</v>
      </c>
      <c r="M244" s="495" t="str">
        <f>IF(L244/K244&lt;1,"○","×")</f>
        <v>○</v>
      </c>
      <c r="N244" s="494">
        <f>IF(L244/K244&gt;1,1,L244/K244)</f>
        <v>0.86431131029888297</v>
      </c>
      <c r="O244" s="496">
        <f>EXP(1.32774+7.80136*10^-2*I244-2.87894*10^-4*I244^2+1.36152*10^-6*I244^3+3.49024*10^-9*I244^4-4.87306*10^-3*ABS(I244))</f>
        <v>7.2729961141877615</v>
      </c>
      <c r="P244" s="497">
        <f t="shared" ref="P244" si="140">O244*N244</f>
        <v>6.2861328012523083</v>
      </c>
      <c r="Q244" s="497">
        <f t="shared" ref="Q244" si="141">1.005*I244+(O244/1000)*(2501.1+1.846*I244)</f>
        <v>27.661851923884161</v>
      </c>
    </row>
    <row r="245" spans="1:18" ht="12" customHeight="1" x14ac:dyDescent="0.25">
      <c r="A245" s="545" t="s">
        <v>231</v>
      </c>
      <c r="B245" s="547"/>
      <c r="C245" s="548"/>
      <c r="D245" s="534" t="str">
        <f>IF(B245="","",VLOOKUP(B245,素材データ!$A$5:$AA$384,2,FALSE))</f>
        <v/>
      </c>
      <c r="E245" s="534" t="str">
        <f>IF(B245="","",VLOOKUP(B245,素材データ!$A$5:$AA$384,4,FALSE))</f>
        <v/>
      </c>
      <c r="F245" s="523"/>
      <c r="G245" s="525">
        <f>IF(D245="",0,IF(D245=0,VLOOKUP(B245,素材データ!$A$5:$AA$364,9,FALSE),IF(D245=0,0,F245/D245/1000)))</f>
        <v>0</v>
      </c>
      <c r="H245" s="532">
        <f>IF(E245="",0,IF(E245=0,VLOOKUP(B245,素材データ!$A$5:$AA$364,11,FALSE),E245*F245/1000))</f>
        <v>0</v>
      </c>
      <c r="I245" s="531"/>
      <c r="J245" s="520"/>
      <c r="K245" s="519"/>
      <c r="L245" s="504"/>
      <c r="M245" s="495"/>
      <c r="N245" s="494"/>
      <c r="O245" s="496"/>
      <c r="P245" s="496"/>
      <c r="Q245" s="496"/>
    </row>
    <row r="246" spans="1:18" ht="12" customHeight="1" x14ac:dyDescent="0.25">
      <c r="A246" s="546"/>
      <c r="B246" s="549"/>
      <c r="C246" s="550"/>
      <c r="D246" s="535"/>
      <c r="E246" s="535"/>
      <c r="F246" s="524"/>
      <c r="G246" s="526"/>
      <c r="H246" s="533"/>
      <c r="I246" s="531">
        <f>J223-(J223-N223)*(G228+G229+G231+G233+G235+G237+G239+G241+G243+G245)/F254</f>
        <v>9.3000000000000007</v>
      </c>
      <c r="J246" s="520">
        <f>237.3/((7.5/LOG10(L246/611))-1)</f>
        <v>7.1525963981427259</v>
      </c>
      <c r="K246" s="519">
        <f>EXP(-6096.938/(I246+273.15)+21.2409642-2.711193*10^-2*(I246+273.15)+1.673952*10^-5*(I246+273.15)^2+2.433502*LN((I246+273.15)))</f>
        <v>1171.7052017269605</v>
      </c>
      <c r="L246" s="504">
        <f>J225-(J225-N225)*(H228+H229+H231+H233+H235+H237+H239+H241+H243+H245)/F259</f>
        <v>1012.7180581886462</v>
      </c>
      <c r="M246" s="495" t="str">
        <f>IF(L246/K246&lt;1,"○","×")</f>
        <v>○</v>
      </c>
      <c r="N246" s="494">
        <f>IF(L246/K246&gt;1,1,L246/K246)</f>
        <v>0.86431131029888297</v>
      </c>
      <c r="O246" s="496">
        <f>EXP(1.32774+7.80136*10^-2*I246-2.87894*10^-4*I246^2+1.36152*10^-6*I246^3+3.49024*10^-9*I246^4-4.87306*10^-3*ABS(I246))</f>
        <v>7.2729961141877615</v>
      </c>
      <c r="P246" s="497">
        <f t="shared" ref="P246" si="142">O246*N246</f>
        <v>6.2861328012523083</v>
      </c>
      <c r="Q246" s="497">
        <f t="shared" ref="Q246" si="143">1.005*I246+(O246/1000)*(2501.1+1.846*I246)</f>
        <v>27.661851923884161</v>
      </c>
    </row>
    <row r="247" spans="1:18" ht="12" customHeight="1" x14ac:dyDescent="0.25">
      <c r="A247" s="545" t="s">
        <v>585</v>
      </c>
      <c r="B247" s="547"/>
      <c r="C247" s="548"/>
      <c r="D247" s="534" t="str">
        <f>IF(B247="","",VLOOKUP(B247,素材データ!$A$5:$AA$384,2,FALSE))</f>
        <v/>
      </c>
      <c r="E247" s="534" t="str">
        <f>IF(B247="","",VLOOKUP(B247,素材データ!$A$5:$AA$384,4,FALSE))</f>
        <v/>
      </c>
      <c r="F247" s="523"/>
      <c r="G247" s="525">
        <f>IF(D247="",0,IF(D247=0,VLOOKUP(B247,素材データ!$A$5:$AA$364,9,FALSE),IF(D247=0,0,F247/D247/1000)))</f>
        <v>0</v>
      </c>
      <c r="H247" s="532">
        <f>IF(E247="",0,IF(E247=0,VLOOKUP(B247,素材データ!$A$5:$AA$364,11,FALSE),E247*F247/1000))</f>
        <v>0</v>
      </c>
      <c r="I247" s="531"/>
      <c r="J247" s="520"/>
      <c r="K247" s="519"/>
      <c r="L247" s="504"/>
      <c r="M247" s="495"/>
      <c r="N247" s="494"/>
      <c r="O247" s="496"/>
      <c r="P247" s="496"/>
      <c r="Q247" s="496"/>
    </row>
    <row r="248" spans="1:18" ht="12" customHeight="1" x14ac:dyDescent="0.25">
      <c r="A248" s="546"/>
      <c r="B248" s="549"/>
      <c r="C248" s="550"/>
      <c r="D248" s="535"/>
      <c r="E248" s="535"/>
      <c r="F248" s="524"/>
      <c r="G248" s="526"/>
      <c r="H248" s="533"/>
      <c r="I248" s="531">
        <f>J223-(J223-N223)*(G228+G229+G231+G233+G235+G237+G239+G241+G243+G245+G247)/F254</f>
        <v>9.3000000000000007</v>
      </c>
      <c r="J248" s="520">
        <f>237.3/((7.5/LOG10(L248/611))-1)</f>
        <v>7.1525963981427259</v>
      </c>
      <c r="K248" s="519">
        <f>EXP(-6096.938/(I248+273.15)+21.2409642-2.711193*10^-2*(I248+273.15)+1.673952*10^-5*(I248+273.15)^2+2.433502*LN((I248+273.15)))</f>
        <v>1171.7052017269605</v>
      </c>
      <c r="L248" s="504">
        <f>J225-(J225-N225)*(H228+H229+H231+H233+H235+H237+H239+H241+H243+H245+H247)/F259</f>
        <v>1012.7180581886462</v>
      </c>
      <c r="M248" s="495" t="str">
        <f>IF(L248/K248&lt;1,"○","×")</f>
        <v>○</v>
      </c>
      <c r="N248" s="494">
        <f>IF(L248/K248&gt;1,1,L248/K248)</f>
        <v>0.86431131029888297</v>
      </c>
      <c r="O248" s="496">
        <f>EXP(1.32774+7.80136*10^-2*I248-2.87894*10^-4*I248^2+1.36152*10^-6*I248^3+3.49024*10^-9*I248^4-4.87306*10^-3*ABS(I248))</f>
        <v>7.2729961141877615</v>
      </c>
      <c r="P248" s="497">
        <f t="shared" ref="P248" si="144">O248*N248</f>
        <v>6.2861328012523083</v>
      </c>
      <c r="Q248" s="497">
        <f t="shared" ref="Q248" si="145">1.005*I248+(O248/1000)*(2501.1+1.846*I248)</f>
        <v>27.661851923884161</v>
      </c>
    </row>
    <row r="249" spans="1:18" ht="12" customHeight="1" x14ac:dyDescent="0.25">
      <c r="A249" s="545" t="s">
        <v>586</v>
      </c>
      <c r="B249" s="547"/>
      <c r="C249" s="548"/>
      <c r="D249" s="534" t="str">
        <f>IF(B249="","",VLOOKUP(B249,素材データ!$A$5:$AA$384,2,FALSE))</f>
        <v/>
      </c>
      <c r="E249" s="534" t="str">
        <f>IF(B249="","",VLOOKUP(B249,素材データ!$A$5:$AA$384,4,FALSE))</f>
        <v/>
      </c>
      <c r="F249" s="523"/>
      <c r="G249" s="525">
        <f>IF(D249="",0,IF(D249=0,VLOOKUP(B249,素材データ!$A$5:$AA$364,9,FALSE),IF(D249=0,0,F249/D249/1000)))</f>
        <v>0</v>
      </c>
      <c r="H249" s="532">
        <f>IF(E249="",0,IF(E249=0,VLOOKUP(B249,素材データ!$A$5:$AA$364,11,FALSE),E249*F249/1000))</f>
        <v>0</v>
      </c>
      <c r="I249" s="531"/>
      <c r="J249" s="520"/>
      <c r="K249" s="519"/>
      <c r="L249" s="504"/>
      <c r="M249" s="495"/>
      <c r="N249" s="494"/>
      <c r="O249" s="496"/>
      <c r="P249" s="496"/>
      <c r="Q249" s="496"/>
    </row>
    <row r="250" spans="1:18" ht="12" customHeight="1" x14ac:dyDescent="0.25">
      <c r="A250" s="546"/>
      <c r="B250" s="549"/>
      <c r="C250" s="550"/>
      <c r="D250" s="535"/>
      <c r="E250" s="535"/>
      <c r="F250" s="524"/>
      <c r="G250" s="526"/>
      <c r="H250" s="533"/>
      <c r="I250" s="531">
        <f>J223-(J223-N223)*(G228+G229+G231+G233+G235+G237+G239+G241+G243+G245+G247+G249)/F254</f>
        <v>9.3000000000000007</v>
      </c>
      <c r="J250" s="520">
        <f>237.3/((7.5/LOG10(L250/611))-1)</f>
        <v>7.1525963981427259</v>
      </c>
      <c r="K250" s="519">
        <f>EXP(-6096.938/(I250+273.15)+21.2409642-2.711193*10^-2*(I250+273.15)+1.673952*10^-5*(I250+273.15)^2+2.433502*LN((I250+273.15)))</f>
        <v>1171.7052017269605</v>
      </c>
      <c r="L250" s="504">
        <f>J225-(J225-N225)*(H228+H229+H231+H233+H235+H237+H239+H241+H243+H245+H247+H249)/F259</f>
        <v>1012.7180581886462</v>
      </c>
      <c r="M250" s="495" t="str">
        <f>IF(L250/K250&lt;1,"○","×")</f>
        <v>○</v>
      </c>
      <c r="N250" s="494">
        <f>IF(L250/K250&gt;1,1,L250/K250)</f>
        <v>0.86431131029888297</v>
      </c>
      <c r="O250" s="496">
        <f>EXP(1.32774+7.80136*10^-2*I250-2.87894*10^-4*I250^2+1.36152*10^-6*I250^3+3.49024*10^-9*I250^4-4.87306*10^-3*ABS(I250))</f>
        <v>7.2729961141877615</v>
      </c>
      <c r="P250" s="497">
        <f t="shared" ref="P250" si="146">O250*N250</f>
        <v>6.2861328012523083</v>
      </c>
      <c r="Q250" s="497">
        <f t="shared" ref="Q250" si="147">1.005*I250+(O250/1000)*(2501.1+1.846*I250)</f>
        <v>27.661851923884161</v>
      </c>
    </row>
    <row r="251" spans="1:18" ht="12" customHeight="1" x14ac:dyDescent="0.25">
      <c r="A251" s="545" t="s">
        <v>587</v>
      </c>
      <c r="B251" s="547"/>
      <c r="C251" s="548"/>
      <c r="D251" s="534" t="str">
        <f>IF(B251="","",VLOOKUP(B251,素材データ!$A$5:$AA$384,2,FALSE))</f>
        <v/>
      </c>
      <c r="E251" s="534" t="str">
        <f>IF(B251="","",VLOOKUP(B251,素材データ!$A$5:$AA$384,4,FALSE))</f>
        <v/>
      </c>
      <c r="F251" s="523"/>
      <c r="G251" s="525">
        <f>IF(D251="",0,IF(D251=0,VLOOKUP(B251,素材データ!$A$5:$AA$364,9,FALSE),IF(D251=0,0,F251/D251/1000)))</f>
        <v>0</v>
      </c>
      <c r="H251" s="532">
        <f>IF(E251="",0,IF(E251=0,VLOOKUP(B251,素材データ!$A$5:$AA$364,11,FALSE),E251*F251/1000))</f>
        <v>0</v>
      </c>
      <c r="I251" s="531"/>
      <c r="J251" s="520"/>
      <c r="K251" s="519"/>
      <c r="L251" s="504"/>
      <c r="M251" s="495"/>
      <c r="N251" s="494"/>
      <c r="O251" s="496"/>
      <c r="P251" s="496"/>
      <c r="Q251" s="496"/>
    </row>
    <row r="252" spans="1:18" ht="12" customHeight="1" x14ac:dyDescent="0.25">
      <c r="A252" s="546"/>
      <c r="B252" s="549"/>
      <c r="C252" s="550"/>
      <c r="D252" s="535"/>
      <c r="E252" s="535"/>
      <c r="F252" s="524"/>
      <c r="G252" s="526"/>
      <c r="H252" s="533"/>
      <c r="I252" s="531">
        <f>J223-(J223-N223)*(G228+G229+G231+G233+G235+G237+G239+G241+G243+G245+G247+G249+G251)/F254</f>
        <v>9.3000000000000007</v>
      </c>
      <c r="J252" s="520">
        <f>237.3/((7.5/LOG10(L252/611))-1)</f>
        <v>7.1525963981427259</v>
      </c>
      <c r="K252" s="519">
        <f>EXP(-6096.938/(I252+273.15)+21.2409642-2.711193*10^-2*(I252+273.15)+1.673952*10^-5*(I252+273.15)^2+2.433502*LN((I252+273.15)))</f>
        <v>1171.7052017269605</v>
      </c>
      <c r="L252" s="504">
        <f>J225-(J225-N225)*(H228+H229+H231+H233+H235+H237+H239+H241+H243+H245+H247+H249+H251)/F259</f>
        <v>1012.7180581886462</v>
      </c>
      <c r="M252" s="495" t="str">
        <f>IF(L252/K252&lt;1,"○","×")</f>
        <v>○</v>
      </c>
      <c r="N252" s="494">
        <f>IF(L252/K252&gt;1,1,L252/K252)</f>
        <v>0.86431131029888297</v>
      </c>
      <c r="O252" s="496">
        <f>EXP(1.32774+7.80136*10^-2*I252-2.87894*10^-4*I252^2+1.36152*10^-6*I252^3+3.49024*10^-9*I252^4-4.87306*10^-3*ABS(I252))</f>
        <v>7.2729961141877615</v>
      </c>
      <c r="P252" s="497">
        <f t="shared" ref="P252" si="148">O252*N252</f>
        <v>6.2861328012523083</v>
      </c>
      <c r="Q252" s="497">
        <f t="shared" ref="Q252" si="149">1.005*I252+(O252/1000)*(2501.1+1.846*I252)</f>
        <v>27.661851923884161</v>
      </c>
    </row>
    <row r="253" spans="1:18" ht="12" customHeight="1" x14ac:dyDescent="0.25">
      <c r="A253" s="454" t="s">
        <v>187</v>
      </c>
      <c r="B253" s="579" t="s">
        <v>5</v>
      </c>
      <c r="C253" s="580"/>
      <c r="D253" s="485" t="str">
        <f>F224</f>
        <v>外壁</v>
      </c>
      <c r="E253" s="570" t="s">
        <v>298</v>
      </c>
      <c r="F253" s="571"/>
      <c r="G253" s="486">
        <f>IF(AND(F224="外壁",E253="通気層工法(18mm以上)"),0.11,IF(AND(F224="外壁",E253="通気層工法(9mm以上)"),0.11,IF(AND(F224="外壁",E253="通気層なし"),0.04,IF(AND(F224="屋根",E253="通気層工法(18mm以上)"),0.09,IF(AND(F224="屋根",E253="通気層工法(9mm以上)"),0.09,IF(AND(F224="屋根",E253="通気層なし"),0.04,IF(F224="天井",0.09,IF(F224="床",0.15,0.11))))))))</f>
        <v>0.11</v>
      </c>
      <c r="H253" s="487">
        <f>IF(AND(F224="外壁",E253="通気層工法(18mm以上)"),1.8,IF(AND(F224="外壁",E253="通気層工法(9mm以上)"),3.6,IF(AND(F224="外壁",E253="通気層なし"),0.014,IF(AND(F224="屋根",E253="通気層工法(18mm以上)"),3.6,IF(AND(F224="屋根",E253="通気層工法(9mm以上)"),5.4,IF(AND(F224="屋根",E253="通気層なし"),0.014,IF(F224="天井",0.042,IF(F224="床",0.042,0.014))))))))*3600*10^-9/760*1.013*10^5</f>
        <v>8.6371578947368427E-4</v>
      </c>
      <c r="I253" s="581"/>
      <c r="J253" s="521"/>
      <c r="K253" s="522"/>
      <c r="L253" s="509"/>
      <c r="M253" s="508"/>
      <c r="N253" s="511"/>
      <c r="O253" s="510"/>
      <c r="P253" s="510"/>
      <c r="Q253" s="510"/>
    </row>
    <row r="254" spans="1:18" ht="15" customHeight="1" x14ac:dyDescent="0.25">
      <c r="A254" s="572" t="s">
        <v>7</v>
      </c>
      <c r="B254" s="569"/>
      <c r="C254" s="569"/>
      <c r="D254" s="459"/>
      <c r="E254" s="460"/>
      <c r="F254" s="575">
        <f>SUM(G228:G253)</f>
        <v>0.22</v>
      </c>
      <c r="G254" s="576"/>
      <c r="H254" s="63"/>
      <c r="M254" s="62"/>
      <c r="N254" s="62"/>
      <c r="O254" s="64"/>
      <c r="P254" s="62"/>
      <c r="Q254" s="62"/>
    </row>
    <row r="255" spans="1:18" ht="15" customHeight="1" x14ac:dyDescent="0.25">
      <c r="A255" s="573"/>
      <c r="B255" s="574"/>
      <c r="C255" s="574"/>
      <c r="D255" s="463"/>
      <c r="E255" s="464" t="s">
        <v>717</v>
      </c>
      <c r="F255" s="577"/>
      <c r="G255" s="578"/>
      <c r="H255" s="63"/>
      <c r="M255" s="62"/>
      <c r="N255" s="62"/>
      <c r="O255" s="64"/>
      <c r="P255" s="62"/>
      <c r="Q255" s="62"/>
      <c r="R255" s="46"/>
    </row>
    <row r="256" spans="1:18" ht="15" customHeight="1" x14ac:dyDescent="0.25">
      <c r="A256" s="568" t="s">
        <v>10</v>
      </c>
      <c r="B256" s="569"/>
      <c r="C256" s="569"/>
      <c r="D256" s="459"/>
      <c r="E256" s="474"/>
      <c r="F256" s="562">
        <f>1/F254</f>
        <v>4.5454545454545459</v>
      </c>
      <c r="G256" s="563"/>
      <c r="H256" s="65"/>
      <c r="I256" s="483"/>
      <c r="J256" s="483"/>
      <c r="K256" s="484"/>
      <c r="L256" s="484"/>
      <c r="M256" s="62"/>
      <c r="N256" s="62"/>
      <c r="O256" s="66"/>
      <c r="P256" s="12" t="s">
        <v>571</v>
      </c>
      <c r="Q256" s="67">
        <f>IF(F224="外壁",5,6)</f>
        <v>5</v>
      </c>
    </row>
    <row r="257" spans="1:17" ht="15" customHeight="1" x14ac:dyDescent="0.25">
      <c r="A257" s="568"/>
      <c r="B257" s="569"/>
      <c r="C257" s="569"/>
      <c r="D257" s="459"/>
      <c r="E257" s="461" t="s">
        <v>716</v>
      </c>
      <c r="F257" s="562"/>
      <c r="G257" s="563"/>
      <c r="H257" s="65"/>
      <c r="I257" s="483"/>
      <c r="J257" s="483"/>
      <c r="K257" s="484"/>
      <c r="L257" s="484"/>
      <c r="M257" s="62"/>
      <c r="N257" s="62"/>
      <c r="O257" s="66"/>
      <c r="P257" s="12" t="s">
        <v>572</v>
      </c>
      <c r="Q257" s="68">
        <f>IF(F224="外壁",5,6)</f>
        <v>5</v>
      </c>
    </row>
    <row r="258" spans="1:17" ht="15" customHeight="1" x14ac:dyDescent="0.25">
      <c r="A258" s="492" t="s">
        <v>303</v>
      </c>
      <c r="B258" s="490">
        <f>IF(J223&gt;N223,J223-N223,N223-J223)</f>
        <v>11.4</v>
      </c>
      <c r="C258" s="465" t="s">
        <v>707</v>
      </c>
      <c r="D258" s="489">
        <f>F256*B258*3600/1000</f>
        <v>186.54545454545459</v>
      </c>
      <c r="E258" s="466" t="s">
        <v>713</v>
      </c>
      <c r="F258" s="489">
        <f>D258*24</f>
        <v>4477.0909090909099</v>
      </c>
      <c r="G258" s="467" t="s">
        <v>714</v>
      </c>
      <c r="H258" s="65"/>
      <c r="I258" s="483"/>
      <c r="J258" s="483"/>
      <c r="K258" s="484"/>
      <c r="L258" s="484"/>
      <c r="M258" s="62"/>
      <c r="N258" s="62"/>
      <c r="O258" s="66"/>
      <c r="P258" s="12" t="s">
        <v>573</v>
      </c>
      <c r="Q258" s="68">
        <f>IF(F224="外壁",5,6)</f>
        <v>5</v>
      </c>
    </row>
    <row r="259" spans="1:17" ht="15" customHeight="1" x14ac:dyDescent="0.25">
      <c r="A259" s="572" t="s">
        <v>709</v>
      </c>
      <c r="B259" s="583"/>
      <c r="C259" s="583"/>
      <c r="D259" s="471"/>
      <c r="E259" s="472"/>
      <c r="F259" s="584">
        <f>SUM(H228:H253)</f>
        <v>8.8386915789473691E-4</v>
      </c>
      <c r="G259" s="585"/>
      <c r="H259" s="65"/>
      <c r="I259" s="483"/>
      <c r="J259" s="483"/>
      <c r="K259" s="484"/>
      <c r="L259" s="484"/>
      <c r="M259" s="62"/>
      <c r="N259" s="62"/>
      <c r="O259" s="66"/>
      <c r="P259" s="12" t="s">
        <v>574</v>
      </c>
      <c r="Q259" s="68">
        <f>IF(F224="外壁",3,4)</f>
        <v>3</v>
      </c>
    </row>
    <row r="260" spans="1:17" ht="15" customHeight="1" x14ac:dyDescent="0.25">
      <c r="A260" s="573"/>
      <c r="B260" s="574"/>
      <c r="C260" s="574"/>
      <c r="D260" s="463"/>
      <c r="E260" s="464"/>
      <c r="F260" s="586"/>
      <c r="G260" s="587"/>
      <c r="H260" s="65"/>
      <c r="I260" s="483"/>
      <c r="J260" s="483"/>
      <c r="K260" s="484"/>
      <c r="L260" s="484"/>
      <c r="M260" s="62"/>
      <c r="N260" s="62"/>
      <c r="O260" s="66"/>
      <c r="P260" s="12" t="s">
        <v>575</v>
      </c>
      <c r="Q260" s="68">
        <f>IF(F224="外壁",2,3)</f>
        <v>2</v>
      </c>
    </row>
    <row r="261" spans="1:17" ht="15" customHeight="1" x14ac:dyDescent="0.25">
      <c r="A261" s="568" t="s">
        <v>710</v>
      </c>
      <c r="B261" s="569"/>
      <c r="C261" s="569"/>
      <c r="D261" s="459"/>
      <c r="E261" s="460"/>
      <c r="F261" s="589">
        <f>1/F259</f>
        <v>1131.3891779885971</v>
      </c>
      <c r="G261" s="590"/>
      <c r="H261" s="65"/>
      <c r="I261" s="483"/>
      <c r="J261" s="483"/>
      <c r="K261" s="484"/>
      <c r="L261" s="484"/>
      <c r="M261" s="62"/>
      <c r="N261" s="62"/>
      <c r="O261" s="66"/>
      <c r="P261" s="12" t="s">
        <v>576</v>
      </c>
      <c r="Q261" s="68">
        <f>IF(F224="外壁",2,3)</f>
        <v>2</v>
      </c>
    </row>
    <row r="262" spans="1:17" ht="15" customHeight="1" x14ac:dyDescent="0.25">
      <c r="A262" s="568"/>
      <c r="B262" s="569"/>
      <c r="C262" s="569"/>
      <c r="D262" s="462"/>
      <c r="E262" s="461"/>
      <c r="F262" s="589"/>
      <c r="G262" s="590"/>
      <c r="H262" s="65"/>
      <c r="I262" s="483"/>
      <c r="J262" s="483"/>
      <c r="K262" s="484"/>
      <c r="L262" s="484"/>
      <c r="M262" s="62"/>
      <c r="N262" s="62"/>
      <c r="O262" s="66"/>
      <c r="P262" s="12" t="s">
        <v>577</v>
      </c>
      <c r="Q262" s="68">
        <f>IF(F224="外壁",2,3)</f>
        <v>2</v>
      </c>
    </row>
    <row r="263" spans="1:17" ht="15" customHeight="1" x14ac:dyDescent="0.25">
      <c r="A263" s="96" t="s">
        <v>711</v>
      </c>
      <c r="B263" s="491">
        <f>IF(J225&gt;N225,J225-N225,N225-J225)</f>
        <v>469.78525078023483</v>
      </c>
      <c r="C263" s="473" t="s">
        <v>708</v>
      </c>
      <c r="D263" s="488">
        <f>F261*B263*3600*10^-9</f>
        <v>1.9134358153611006</v>
      </c>
      <c r="E263" s="98" t="s">
        <v>712</v>
      </c>
      <c r="F263" s="488">
        <f>D263*24</f>
        <v>45.922459568666412</v>
      </c>
      <c r="G263" s="99" t="s">
        <v>715</v>
      </c>
      <c r="H263" s="65"/>
      <c r="I263" s="483"/>
      <c r="J263" s="483"/>
      <c r="K263" s="484"/>
      <c r="L263" s="484"/>
      <c r="M263" s="62"/>
      <c r="N263" s="62"/>
      <c r="O263" s="66"/>
      <c r="P263" s="12" t="s">
        <v>578</v>
      </c>
      <c r="Q263" s="72" t="s">
        <v>9</v>
      </c>
    </row>
    <row r="264" spans="1:17" ht="15" customHeight="1" x14ac:dyDescent="0.25">
      <c r="A264" s="591" t="s">
        <v>102</v>
      </c>
      <c r="B264" s="592"/>
      <c r="C264" s="468" t="s">
        <v>103</v>
      </c>
      <c r="D264" s="469">
        <f>$T$22</f>
        <v>15</v>
      </c>
      <c r="E264" s="470" t="s">
        <v>104</v>
      </c>
      <c r="F264" s="469">
        <f>$D$264-($J223-$D265)*G228/$F254</f>
        <v>6</v>
      </c>
      <c r="G264" s="595" t="str">
        <f>IF(F265&lt;F264,"○","×")</f>
        <v>×</v>
      </c>
      <c r="H264" s="63"/>
      <c r="M264" s="75"/>
      <c r="N264" s="75"/>
      <c r="O264" s="76"/>
      <c r="P264" s="75"/>
      <c r="Q264" s="75"/>
    </row>
    <row r="265" spans="1:17" ht="15" customHeight="1" x14ac:dyDescent="0.25">
      <c r="A265" s="593"/>
      <c r="B265" s="594"/>
      <c r="C265" s="455" t="s">
        <v>55</v>
      </c>
      <c r="D265" s="456">
        <f>VLOOKUP(E224,$S$23:$U$30,2,FALSE)</f>
        <v>-3</v>
      </c>
      <c r="E265" s="457" t="s">
        <v>16</v>
      </c>
      <c r="F265" s="458">
        <f>237.3/((7.5/LOG10(((6.11*10^(7.5*$T$22/($T$22+237.3))*$U$22/100)-((6.11*10^(7.5*$T$22/($T$22+237.3))*$U$22/100)-(6.11*10^(7.5*$D265/($D265+237.3))*$N224/100))*H228/F259)/6.11))-1)</f>
        <v>7.0843168861848973</v>
      </c>
      <c r="G265" s="596"/>
      <c r="H265" s="52"/>
      <c r="I265" s="77"/>
      <c r="J265" s="77"/>
      <c r="K265" s="77"/>
      <c r="L265" s="77"/>
      <c r="M265" s="78"/>
      <c r="N265" s="78"/>
      <c r="O265" s="79"/>
      <c r="P265" s="75"/>
      <c r="Q265" s="75"/>
    </row>
  </sheetData>
  <mergeCells count="1408">
    <mergeCell ref="A132:B133"/>
    <mergeCell ref="G132:G133"/>
    <mergeCell ref="A176:B177"/>
    <mergeCell ref="G176:G177"/>
    <mergeCell ref="L200:L201"/>
    <mergeCell ref="J200:J201"/>
    <mergeCell ref="D201:D202"/>
    <mergeCell ref="D203:D204"/>
    <mergeCell ref="A264:B265"/>
    <mergeCell ref="G264:G265"/>
    <mergeCell ref="F251:F252"/>
    <mergeCell ref="M250:M251"/>
    <mergeCell ref="F249:F250"/>
    <mergeCell ref="G249:G250"/>
    <mergeCell ref="H249:H250"/>
    <mergeCell ref="G251:G252"/>
    <mergeCell ref="L252:L253"/>
    <mergeCell ref="M252:M253"/>
    <mergeCell ref="B253:C253"/>
    <mergeCell ref="E253:F253"/>
    <mergeCell ref="A259:C260"/>
    <mergeCell ref="F259:G260"/>
    <mergeCell ref="A254:C255"/>
    <mergeCell ref="F254:G255"/>
    <mergeCell ref="A256:C257"/>
    <mergeCell ref="F256:G257"/>
    <mergeCell ref="P150:P151"/>
    <mergeCell ref="Q150:Q151"/>
    <mergeCell ref="P152:P153"/>
    <mergeCell ref="Q152:Q153"/>
    <mergeCell ref="P154:P155"/>
    <mergeCell ref="Q154:Q155"/>
    <mergeCell ref="P156:P157"/>
    <mergeCell ref="Q156:Q157"/>
    <mergeCell ref="P158:P159"/>
    <mergeCell ref="Q158:Q159"/>
    <mergeCell ref="P160:P161"/>
    <mergeCell ref="Q160:Q161"/>
    <mergeCell ref="P162:P163"/>
    <mergeCell ref="Q162:Q163"/>
    <mergeCell ref="P114:P115"/>
    <mergeCell ref="Q114:Q115"/>
    <mergeCell ref="P116:P117"/>
    <mergeCell ref="Q116:Q117"/>
    <mergeCell ref="P118:P119"/>
    <mergeCell ref="Q118:Q119"/>
    <mergeCell ref="P120:P121"/>
    <mergeCell ref="Q120:Q121"/>
    <mergeCell ref="P140:P141"/>
    <mergeCell ref="Q140:Q141"/>
    <mergeCell ref="P142:P143"/>
    <mergeCell ref="Q142:Q143"/>
    <mergeCell ref="P144:P145"/>
    <mergeCell ref="Q144:Q145"/>
    <mergeCell ref="P252:P253"/>
    <mergeCell ref="Q252:Q253"/>
    <mergeCell ref="P200:P201"/>
    <mergeCell ref="Q200:Q201"/>
    <mergeCell ref="P202:P203"/>
    <mergeCell ref="Q202:Q203"/>
    <mergeCell ref="P204:P205"/>
    <mergeCell ref="Q204:Q205"/>
    <mergeCell ref="P206:P207"/>
    <mergeCell ref="Q206:Q207"/>
    <mergeCell ref="P208:P209"/>
    <mergeCell ref="Q208:Q209"/>
    <mergeCell ref="P228:P229"/>
    <mergeCell ref="Q228:Q229"/>
    <mergeCell ref="P230:P231"/>
    <mergeCell ref="Q230:Q231"/>
    <mergeCell ref="P232:P233"/>
    <mergeCell ref="Q232:Q233"/>
    <mergeCell ref="P234:P235"/>
    <mergeCell ref="Q234:Q235"/>
    <mergeCell ref="P236:P237"/>
    <mergeCell ref="Q236:Q237"/>
    <mergeCell ref="P238:P239"/>
    <mergeCell ref="Q238:Q239"/>
    <mergeCell ref="P240:P241"/>
    <mergeCell ref="Q240:Q241"/>
    <mergeCell ref="P242:P243"/>
    <mergeCell ref="Q242:Q243"/>
    <mergeCell ref="P244:P245"/>
    <mergeCell ref="Q244:Q245"/>
    <mergeCell ref="P246:P247"/>
    <mergeCell ref="Q246:Q247"/>
    <mergeCell ref="P104:P105"/>
    <mergeCell ref="Q104:Q105"/>
    <mergeCell ref="P106:P107"/>
    <mergeCell ref="Q106:Q107"/>
    <mergeCell ref="P108:P109"/>
    <mergeCell ref="Q108:Q109"/>
    <mergeCell ref="P250:P251"/>
    <mergeCell ref="Q250:Q251"/>
    <mergeCell ref="P248:P249"/>
    <mergeCell ref="Q248:Q249"/>
    <mergeCell ref="P164:P165"/>
    <mergeCell ref="Q164:Q165"/>
    <mergeCell ref="P184:P185"/>
    <mergeCell ref="Q184:Q185"/>
    <mergeCell ref="P186:P187"/>
    <mergeCell ref="Q186:Q187"/>
    <mergeCell ref="P188:P189"/>
    <mergeCell ref="Q188:Q189"/>
    <mergeCell ref="P190:P191"/>
    <mergeCell ref="Q190:Q191"/>
    <mergeCell ref="P192:P193"/>
    <mergeCell ref="Q192:Q193"/>
    <mergeCell ref="P194:P195"/>
    <mergeCell ref="Q194:Q195"/>
    <mergeCell ref="P196:P197"/>
    <mergeCell ref="Q196:Q197"/>
    <mergeCell ref="P198:P199"/>
    <mergeCell ref="Q198:Q199"/>
    <mergeCell ref="P112:P113"/>
    <mergeCell ref="Q112:Q113"/>
    <mergeCell ref="P148:P149"/>
    <mergeCell ref="Q148:Q149"/>
    <mergeCell ref="P110:P111"/>
    <mergeCell ref="Q110:Q111"/>
    <mergeCell ref="P56:P57"/>
    <mergeCell ref="Q56:Q57"/>
    <mergeCell ref="P58:P59"/>
    <mergeCell ref="Q58:Q59"/>
    <mergeCell ref="P60:P61"/>
    <mergeCell ref="Q60:Q61"/>
    <mergeCell ref="P62:P63"/>
    <mergeCell ref="Q62:Q63"/>
    <mergeCell ref="P64:P65"/>
    <mergeCell ref="Q64:Q65"/>
    <mergeCell ref="P66:P67"/>
    <mergeCell ref="Q66:Q67"/>
    <mergeCell ref="P68:P69"/>
    <mergeCell ref="Q68:Q69"/>
    <mergeCell ref="P70:P71"/>
    <mergeCell ref="Q70:Q71"/>
    <mergeCell ref="P72:P73"/>
    <mergeCell ref="Q72:Q73"/>
    <mergeCell ref="P74:P75"/>
    <mergeCell ref="Q74:Q75"/>
    <mergeCell ref="P76:P77"/>
    <mergeCell ref="Q76:Q77"/>
    <mergeCell ref="P96:P97"/>
    <mergeCell ref="Q96:Q97"/>
    <mergeCell ref="P98:P99"/>
    <mergeCell ref="Q98:Q99"/>
    <mergeCell ref="P100:P101"/>
    <mergeCell ref="Q100:Q101"/>
    <mergeCell ref="P102:P103"/>
    <mergeCell ref="Q102:Q103"/>
    <mergeCell ref="P8:P9"/>
    <mergeCell ref="Q8:Q9"/>
    <mergeCell ref="P10:P11"/>
    <mergeCell ref="P12:P13"/>
    <mergeCell ref="P14:P15"/>
    <mergeCell ref="P16:P17"/>
    <mergeCell ref="P18:P19"/>
    <mergeCell ref="P20:P21"/>
    <mergeCell ref="P22:P23"/>
    <mergeCell ref="P24:P25"/>
    <mergeCell ref="P26:P27"/>
    <mergeCell ref="P28:P29"/>
    <mergeCell ref="P30:P31"/>
    <mergeCell ref="P32:P33"/>
    <mergeCell ref="Q10:Q11"/>
    <mergeCell ref="Q12:Q13"/>
    <mergeCell ref="Q14:Q15"/>
    <mergeCell ref="Q16:Q17"/>
    <mergeCell ref="Q18:Q19"/>
    <mergeCell ref="Q20:Q21"/>
    <mergeCell ref="Q22:Q23"/>
    <mergeCell ref="Q24:Q25"/>
    <mergeCell ref="Q26:Q27"/>
    <mergeCell ref="Q28:Q29"/>
    <mergeCell ref="Q30:Q31"/>
    <mergeCell ref="Q32:Q33"/>
    <mergeCell ref="A261:C262"/>
    <mergeCell ref="F261:G262"/>
    <mergeCell ref="N250:N251"/>
    <mergeCell ref="A249:A250"/>
    <mergeCell ref="B249:C250"/>
    <mergeCell ref="D249:D250"/>
    <mergeCell ref="E249:E250"/>
    <mergeCell ref="I250:I251"/>
    <mergeCell ref="K248:K249"/>
    <mergeCell ref="J248:J249"/>
    <mergeCell ref="A247:A248"/>
    <mergeCell ref="B247:C248"/>
    <mergeCell ref="A251:A252"/>
    <mergeCell ref="B251:C252"/>
    <mergeCell ref="D251:D252"/>
    <mergeCell ref="E251:E252"/>
    <mergeCell ref="E243:E244"/>
    <mergeCell ref="M244:M245"/>
    <mergeCell ref="K244:K245"/>
    <mergeCell ref="L244:L245"/>
    <mergeCell ref="L242:L243"/>
    <mergeCell ref="M242:M243"/>
    <mergeCell ref="K242:K243"/>
    <mergeCell ref="N244:N245"/>
    <mergeCell ref="N242:N243"/>
    <mergeCell ref="M248:M249"/>
    <mergeCell ref="L248:L249"/>
    <mergeCell ref="A243:A244"/>
    <mergeCell ref="B243:C244"/>
    <mergeCell ref="A241:A242"/>
    <mergeCell ref="B241:C242"/>
    <mergeCell ref="E241:E242"/>
    <mergeCell ref="L240:L241"/>
    <mergeCell ref="N238:N239"/>
    <mergeCell ref="N240:N241"/>
    <mergeCell ref="M240:M241"/>
    <mergeCell ref="J242:J243"/>
    <mergeCell ref="J240:J241"/>
    <mergeCell ref="H239:H240"/>
    <mergeCell ref="J238:J239"/>
    <mergeCell ref="K240:K241"/>
    <mergeCell ref="O248:O249"/>
    <mergeCell ref="O246:O247"/>
    <mergeCell ref="M246:M247"/>
    <mergeCell ref="L246:L247"/>
    <mergeCell ref="N246:N247"/>
    <mergeCell ref="N248:N249"/>
    <mergeCell ref="O250:O251"/>
    <mergeCell ref="H251:H252"/>
    <mergeCell ref="I252:I253"/>
    <mergeCell ref="J252:J253"/>
    <mergeCell ref="L250:L251"/>
    <mergeCell ref="K252:K253"/>
    <mergeCell ref="J250:J251"/>
    <mergeCell ref="K250:K251"/>
    <mergeCell ref="O252:O253"/>
    <mergeCell ref="N252:N253"/>
    <mergeCell ref="H241:H242"/>
    <mergeCell ref="O244:O245"/>
    <mergeCell ref="O242:O243"/>
    <mergeCell ref="O240:O241"/>
    <mergeCell ref="A233:A234"/>
    <mergeCell ref="G231:G232"/>
    <mergeCell ref="F233:F234"/>
    <mergeCell ref="F237:F238"/>
    <mergeCell ref="D237:D238"/>
    <mergeCell ref="E237:E238"/>
    <mergeCell ref="A229:A230"/>
    <mergeCell ref="B229:C230"/>
    <mergeCell ref="A235:A236"/>
    <mergeCell ref="A231:A232"/>
    <mergeCell ref="F241:F242"/>
    <mergeCell ref="A237:A238"/>
    <mergeCell ref="B237:C238"/>
    <mergeCell ref="G239:G240"/>
    <mergeCell ref="G237:G238"/>
    <mergeCell ref="D241:D242"/>
    <mergeCell ref="E239:E240"/>
    <mergeCell ref="G241:G242"/>
    <mergeCell ref="F239:F240"/>
    <mergeCell ref="B239:C240"/>
    <mergeCell ref="D239:D240"/>
    <mergeCell ref="A239:A240"/>
    <mergeCell ref="G229:G230"/>
    <mergeCell ref="F247:F248"/>
    <mergeCell ref="G247:G248"/>
    <mergeCell ref="H247:H248"/>
    <mergeCell ref="D247:D248"/>
    <mergeCell ref="E247:E248"/>
    <mergeCell ref="A245:A246"/>
    <mergeCell ref="B245:C246"/>
    <mergeCell ref="I248:I249"/>
    <mergeCell ref="J246:J247"/>
    <mergeCell ref="K246:K247"/>
    <mergeCell ref="H245:H246"/>
    <mergeCell ref="I246:I247"/>
    <mergeCell ref="F245:F246"/>
    <mergeCell ref="G245:G246"/>
    <mergeCell ref="J244:J245"/>
    <mergeCell ref="G243:G244"/>
    <mergeCell ref="I238:I239"/>
    <mergeCell ref="I242:I243"/>
    <mergeCell ref="F243:F244"/>
    <mergeCell ref="H243:H244"/>
    <mergeCell ref="I244:I245"/>
    <mergeCell ref="I240:I241"/>
    <mergeCell ref="H237:H238"/>
    <mergeCell ref="I236:I237"/>
    <mergeCell ref="G235:G236"/>
    <mergeCell ref="D245:D246"/>
    <mergeCell ref="E245:E246"/>
    <mergeCell ref="D243:D244"/>
    <mergeCell ref="N228:N229"/>
    <mergeCell ref="N230:N231"/>
    <mergeCell ref="O228:O229"/>
    <mergeCell ref="J228:J229"/>
    <mergeCell ref="O236:O237"/>
    <mergeCell ref="O234:O235"/>
    <mergeCell ref="L234:L235"/>
    <mergeCell ref="M234:M235"/>
    <mergeCell ref="M236:M237"/>
    <mergeCell ref="N234:N235"/>
    <mergeCell ref="N236:N237"/>
    <mergeCell ref="L236:L237"/>
    <mergeCell ref="O230:O231"/>
    <mergeCell ref="O232:O233"/>
    <mergeCell ref="N232:N233"/>
    <mergeCell ref="O238:O239"/>
    <mergeCell ref="M238:M239"/>
    <mergeCell ref="L238:L239"/>
    <mergeCell ref="M232:M233"/>
    <mergeCell ref="K232:K233"/>
    <mergeCell ref="M230:M231"/>
    <mergeCell ref="L232:L233"/>
    <mergeCell ref="K234:K235"/>
    <mergeCell ref="K236:K237"/>
    <mergeCell ref="J230:J231"/>
    <mergeCell ref="M228:M229"/>
    <mergeCell ref="L228:L229"/>
    <mergeCell ref="K230:K231"/>
    <mergeCell ref="L230:L231"/>
    <mergeCell ref="K238:K239"/>
    <mergeCell ref="K228:K229"/>
    <mergeCell ref="I232:I233"/>
    <mergeCell ref="J232:J233"/>
    <mergeCell ref="G233:G234"/>
    <mergeCell ref="J234:J235"/>
    <mergeCell ref="I234:I235"/>
    <mergeCell ref="H233:H234"/>
    <mergeCell ref="H235:H236"/>
    <mergeCell ref="J236:J237"/>
    <mergeCell ref="E235:E236"/>
    <mergeCell ref="F235:F236"/>
    <mergeCell ref="B235:C236"/>
    <mergeCell ref="D235:D236"/>
    <mergeCell ref="B233:C234"/>
    <mergeCell ref="D233:D234"/>
    <mergeCell ref="F231:F232"/>
    <mergeCell ref="E233:E234"/>
    <mergeCell ref="B231:C232"/>
    <mergeCell ref="D231:D232"/>
    <mergeCell ref="E231:E232"/>
    <mergeCell ref="B228:C228"/>
    <mergeCell ref="F229:F230"/>
    <mergeCell ref="D228:F228"/>
    <mergeCell ref="D229:D230"/>
    <mergeCell ref="A226:A227"/>
    <mergeCell ref="B226:C227"/>
    <mergeCell ref="A223:A225"/>
    <mergeCell ref="B223:D225"/>
    <mergeCell ref="A217:C218"/>
    <mergeCell ref="F217:G218"/>
    <mergeCell ref="A212:C213"/>
    <mergeCell ref="F212:G213"/>
    <mergeCell ref="A215:C216"/>
    <mergeCell ref="B209:C209"/>
    <mergeCell ref="A210:C211"/>
    <mergeCell ref="F210:G211"/>
    <mergeCell ref="H231:H232"/>
    <mergeCell ref="F215:G216"/>
    <mergeCell ref="E209:F209"/>
    <mergeCell ref="L223:L225"/>
    <mergeCell ref="H223:H225"/>
    <mergeCell ref="E224:E225"/>
    <mergeCell ref="F224:F225"/>
    <mergeCell ref="G224:G225"/>
    <mergeCell ref="I208:I209"/>
    <mergeCell ref="A220:B221"/>
    <mergeCell ref="G220:G221"/>
    <mergeCell ref="E229:E230"/>
    <mergeCell ref="I228:I229"/>
    <mergeCell ref="O206:O207"/>
    <mergeCell ref="A207:A208"/>
    <mergeCell ref="B207:C208"/>
    <mergeCell ref="D207:D208"/>
    <mergeCell ref="E207:E208"/>
    <mergeCell ref="F207:F208"/>
    <mergeCell ref="G205:G206"/>
    <mergeCell ref="K206:K207"/>
    <mergeCell ref="I204:I205"/>
    <mergeCell ref="G203:G204"/>
    <mergeCell ref="O208:O209"/>
    <mergeCell ref="N208:N209"/>
    <mergeCell ref="H203:H204"/>
    <mergeCell ref="J204:J205"/>
    <mergeCell ref="N206:N207"/>
    <mergeCell ref="H205:H206"/>
    <mergeCell ref="A203:A204"/>
    <mergeCell ref="B203:C204"/>
    <mergeCell ref="H229:H230"/>
    <mergeCell ref="I230:I231"/>
    <mergeCell ref="M208:M209"/>
    <mergeCell ref="L208:L209"/>
    <mergeCell ref="L206:L207"/>
    <mergeCell ref="K204:K205"/>
    <mergeCell ref="M204:M205"/>
    <mergeCell ref="J202:J203"/>
    <mergeCell ref="B201:C202"/>
    <mergeCell ref="M200:M201"/>
    <mergeCell ref="K200:K201"/>
    <mergeCell ref="F201:F202"/>
    <mergeCell ref="K202:K203"/>
    <mergeCell ref="I202:I203"/>
    <mergeCell ref="E201:E202"/>
    <mergeCell ref="G199:G200"/>
    <mergeCell ref="J198:J199"/>
    <mergeCell ref="K208:K209"/>
    <mergeCell ref="J208:J209"/>
    <mergeCell ref="G201:G202"/>
    <mergeCell ref="H201:H202"/>
    <mergeCell ref="I200:I201"/>
    <mergeCell ref="M198:M199"/>
    <mergeCell ref="L198:L199"/>
    <mergeCell ref="H197:H198"/>
    <mergeCell ref="I198:I199"/>
    <mergeCell ref="N202:N203"/>
    <mergeCell ref="N204:N205"/>
    <mergeCell ref="L204:L205"/>
    <mergeCell ref="B205:C206"/>
    <mergeCell ref="E203:E204"/>
    <mergeCell ref="J206:J207"/>
    <mergeCell ref="A197:A198"/>
    <mergeCell ref="F203:F204"/>
    <mergeCell ref="A201:A202"/>
    <mergeCell ref="A205:A206"/>
    <mergeCell ref="D205:D206"/>
    <mergeCell ref="E205:E206"/>
    <mergeCell ref="F205:F206"/>
    <mergeCell ref="I206:I207"/>
    <mergeCell ref="M202:M203"/>
    <mergeCell ref="L202:L203"/>
    <mergeCell ref="B199:C200"/>
    <mergeCell ref="D199:D200"/>
    <mergeCell ref="E199:E200"/>
    <mergeCell ref="F199:F200"/>
    <mergeCell ref="G197:G198"/>
    <mergeCell ref="H199:H200"/>
    <mergeCell ref="L196:L197"/>
    <mergeCell ref="A195:A196"/>
    <mergeCell ref="K198:K199"/>
    <mergeCell ref="A199:A200"/>
    <mergeCell ref="M196:M197"/>
    <mergeCell ref="K196:K197"/>
    <mergeCell ref="N200:N201"/>
    <mergeCell ref="G207:G208"/>
    <mergeCell ref="M206:M207"/>
    <mergeCell ref="H207:H208"/>
    <mergeCell ref="A193:A194"/>
    <mergeCell ref="B193:C194"/>
    <mergeCell ref="D193:D194"/>
    <mergeCell ref="E193:E194"/>
    <mergeCell ref="B195:C196"/>
    <mergeCell ref="D195:D196"/>
    <mergeCell ref="K192:K193"/>
    <mergeCell ref="J196:J197"/>
    <mergeCell ref="B197:C198"/>
    <mergeCell ref="D197:D198"/>
    <mergeCell ref="E197:E198"/>
    <mergeCell ref="F197:F198"/>
    <mergeCell ref="F195:F196"/>
    <mergeCell ref="A191:A192"/>
    <mergeCell ref="A189:A190"/>
    <mergeCell ref="J192:J193"/>
    <mergeCell ref="K188:K189"/>
    <mergeCell ref="E191:E192"/>
    <mergeCell ref="F189:F190"/>
    <mergeCell ref="K190:K191"/>
    <mergeCell ref="H189:H190"/>
    <mergeCell ref="I188:I189"/>
    <mergeCell ref="H187:H188"/>
    <mergeCell ref="J188:J189"/>
    <mergeCell ref="J190:J191"/>
    <mergeCell ref="H191:H192"/>
    <mergeCell ref="K186:K187"/>
    <mergeCell ref="I196:I197"/>
    <mergeCell ref="B189:C190"/>
    <mergeCell ref="E189:E190"/>
    <mergeCell ref="H185:H186"/>
    <mergeCell ref="D189:D190"/>
    <mergeCell ref="M190:M191"/>
    <mergeCell ref="M192:M193"/>
    <mergeCell ref="O192:O193"/>
    <mergeCell ref="O190:O191"/>
    <mergeCell ref="M188:M189"/>
    <mergeCell ref="B187:C188"/>
    <mergeCell ref="J194:J195"/>
    <mergeCell ref="G195:G196"/>
    <mergeCell ref="H195:H196"/>
    <mergeCell ref="I194:I195"/>
    <mergeCell ref="B191:C192"/>
    <mergeCell ref="E195:E196"/>
    <mergeCell ref="L192:L193"/>
    <mergeCell ref="F193:F194"/>
    <mergeCell ref="G193:G194"/>
    <mergeCell ref="H193:H194"/>
    <mergeCell ref="K194:K195"/>
    <mergeCell ref="F191:F192"/>
    <mergeCell ref="G189:G190"/>
    <mergeCell ref="E187:E188"/>
    <mergeCell ref="F187:F188"/>
    <mergeCell ref="G187:G188"/>
    <mergeCell ref="D187:D188"/>
    <mergeCell ref="D191:D192"/>
    <mergeCell ref="L194:L195"/>
    <mergeCell ref="I192:I193"/>
    <mergeCell ref="L190:L191"/>
    <mergeCell ref="I190:I191"/>
    <mergeCell ref="O196:O197"/>
    <mergeCell ref="G191:G192"/>
    <mergeCell ref="I186:I187"/>
    <mergeCell ref="L186:L187"/>
    <mergeCell ref="A171:C172"/>
    <mergeCell ref="F171:G172"/>
    <mergeCell ref="T172:U172"/>
    <mergeCell ref="A173:C174"/>
    <mergeCell ref="F173:G174"/>
    <mergeCell ref="H179:H181"/>
    <mergeCell ref="I184:I185"/>
    <mergeCell ref="J184:J185"/>
    <mergeCell ref="J186:J187"/>
    <mergeCell ref="T177:U177"/>
    <mergeCell ref="L179:L181"/>
    <mergeCell ref="N186:N187"/>
    <mergeCell ref="M184:M185"/>
    <mergeCell ref="O184:O185"/>
    <mergeCell ref="L184:L185"/>
    <mergeCell ref="K184:K185"/>
    <mergeCell ref="B184:C184"/>
    <mergeCell ref="D184:F184"/>
    <mergeCell ref="A179:A181"/>
    <mergeCell ref="B179:D181"/>
    <mergeCell ref="G180:G181"/>
    <mergeCell ref="E180:E181"/>
    <mergeCell ref="F180:F181"/>
    <mergeCell ref="G185:G186"/>
    <mergeCell ref="D185:D186"/>
    <mergeCell ref="A182:A183"/>
    <mergeCell ref="B182:C183"/>
    <mergeCell ref="A185:A186"/>
    <mergeCell ref="B185:C186"/>
    <mergeCell ref="E185:E186"/>
    <mergeCell ref="F185:F186"/>
    <mergeCell ref="A187:A188"/>
    <mergeCell ref="D163:D164"/>
    <mergeCell ref="E163:E164"/>
    <mergeCell ref="D161:D162"/>
    <mergeCell ref="E161:E162"/>
    <mergeCell ref="F161:F162"/>
    <mergeCell ref="G161:G162"/>
    <mergeCell ref="J160:J161"/>
    <mergeCell ref="J162:J163"/>
    <mergeCell ref="O160:O161"/>
    <mergeCell ref="K164:K165"/>
    <mergeCell ref="A168:C169"/>
    <mergeCell ref="F168:G169"/>
    <mergeCell ref="A166:C167"/>
    <mergeCell ref="F166:G167"/>
    <mergeCell ref="E165:F165"/>
    <mergeCell ref="B165:C165"/>
    <mergeCell ref="I162:I163"/>
    <mergeCell ref="H163:H164"/>
    <mergeCell ref="H161:H162"/>
    <mergeCell ref="A163:A164"/>
    <mergeCell ref="B163:C164"/>
    <mergeCell ref="I160:I161"/>
    <mergeCell ref="F163:F164"/>
    <mergeCell ref="F159:F160"/>
    <mergeCell ref="G159:G160"/>
    <mergeCell ref="H159:H160"/>
    <mergeCell ref="A161:A162"/>
    <mergeCell ref="B161:C162"/>
    <mergeCell ref="G163:G164"/>
    <mergeCell ref="I164:I165"/>
    <mergeCell ref="H157:H158"/>
    <mergeCell ref="M152:M153"/>
    <mergeCell ref="F157:F158"/>
    <mergeCell ref="I158:I159"/>
    <mergeCell ref="O156:O157"/>
    <mergeCell ref="O154:O155"/>
    <mergeCell ref="A155:A156"/>
    <mergeCell ref="B155:C156"/>
    <mergeCell ref="D155:D156"/>
    <mergeCell ref="E155:E156"/>
    <mergeCell ref="F155:F156"/>
    <mergeCell ref="G155:G156"/>
    <mergeCell ref="G157:G158"/>
    <mergeCell ref="K156:K157"/>
    <mergeCell ref="J158:J159"/>
    <mergeCell ref="K158:K159"/>
    <mergeCell ref="L158:L159"/>
    <mergeCell ref="H155:H156"/>
    <mergeCell ref="A157:A158"/>
    <mergeCell ref="B157:C158"/>
    <mergeCell ref="D157:D158"/>
    <mergeCell ref="E157:E158"/>
    <mergeCell ref="I156:I157"/>
    <mergeCell ref="J154:J155"/>
    <mergeCell ref="O158:O159"/>
    <mergeCell ref="M158:M159"/>
    <mergeCell ref="A159:A160"/>
    <mergeCell ref="B159:C160"/>
    <mergeCell ref="D159:D160"/>
    <mergeCell ref="E159:E160"/>
    <mergeCell ref="B151:C152"/>
    <mergeCell ref="O150:O151"/>
    <mergeCell ref="G151:G152"/>
    <mergeCell ref="H151:H152"/>
    <mergeCell ref="N150:N151"/>
    <mergeCell ref="L152:L153"/>
    <mergeCell ref="J152:J153"/>
    <mergeCell ref="J150:J151"/>
    <mergeCell ref="K150:K151"/>
    <mergeCell ref="D151:D152"/>
    <mergeCell ref="L154:L155"/>
    <mergeCell ref="E151:E152"/>
    <mergeCell ref="K154:K155"/>
    <mergeCell ref="K152:K153"/>
    <mergeCell ref="F153:F154"/>
    <mergeCell ref="G153:G154"/>
    <mergeCell ref="H153:H154"/>
    <mergeCell ref="I154:I155"/>
    <mergeCell ref="I152:I153"/>
    <mergeCell ref="M150:M151"/>
    <mergeCell ref="L150:L151"/>
    <mergeCell ref="N154:N155"/>
    <mergeCell ref="M154:M155"/>
    <mergeCell ref="A149:A150"/>
    <mergeCell ref="B149:C150"/>
    <mergeCell ref="D149:D150"/>
    <mergeCell ref="E149:E150"/>
    <mergeCell ref="A147:A148"/>
    <mergeCell ref="B147:C148"/>
    <mergeCell ref="D147:D148"/>
    <mergeCell ref="E147:E148"/>
    <mergeCell ref="K148:K149"/>
    <mergeCell ref="A145:A146"/>
    <mergeCell ref="O148:O149"/>
    <mergeCell ref="O146:O147"/>
    <mergeCell ref="L146:L147"/>
    <mergeCell ref="M146:M147"/>
    <mergeCell ref="N148:N149"/>
    <mergeCell ref="M148:M149"/>
    <mergeCell ref="J148:J149"/>
    <mergeCell ref="F147:F148"/>
    <mergeCell ref="F149:F150"/>
    <mergeCell ref="G149:G150"/>
    <mergeCell ref="H149:H150"/>
    <mergeCell ref="I150:I151"/>
    <mergeCell ref="F151:F152"/>
    <mergeCell ref="I148:I149"/>
    <mergeCell ref="H147:H148"/>
    <mergeCell ref="G147:G148"/>
    <mergeCell ref="O152:O153"/>
    <mergeCell ref="A153:A154"/>
    <mergeCell ref="B153:C154"/>
    <mergeCell ref="D153:D154"/>
    <mergeCell ref="E153:E154"/>
    <mergeCell ref="A151:A152"/>
    <mergeCell ref="I142:I143"/>
    <mergeCell ref="D143:D144"/>
    <mergeCell ref="G141:G142"/>
    <mergeCell ref="H141:H142"/>
    <mergeCell ref="E143:E144"/>
    <mergeCell ref="G143:G144"/>
    <mergeCell ref="H143:H144"/>
    <mergeCell ref="I140:I141"/>
    <mergeCell ref="O144:O145"/>
    <mergeCell ref="N144:N145"/>
    <mergeCell ref="H145:H146"/>
    <mergeCell ref="I146:I147"/>
    <mergeCell ref="J144:J145"/>
    <mergeCell ref="K146:K147"/>
    <mergeCell ref="K144:K145"/>
    <mergeCell ref="O142:O143"/>
    <mergeCell ref="L144:L145"/>
    <mergeCell ref="M144:M145"/>
    <mergeCell ref="N142:N143"/>
    <mergeCell ref="D145:D146"/>
    <mergeCell ref="E145:E146"/>
    <mergeCell ref="F145:F146"/>
    <mergeCell ref="J146:J147"/>
    <mergeCell ref="G145:G146"/>
    <mergeCell ref="N140:N141"/>
    <mergeCell ref="O140:O141"/>
    <mergeCell ref="T141:U141"/>
    <mergeCell ref="T140:U140"/>
    <mergeCell ref="A141:A142"/>
    <mergeCell ref="B141:C142"/>
    <mergeCell ref="D141:D142"/>
    <mergeCell ref="E141:E142"/>
    <mergeCell ref="F141:F142"/>
    <mergeCell ref="K142:K143"/>
    <mergeCell ref="L142:L143"/>
    <mergeCell ref="M142:M143"/>
    <mergeCell ref="L135:L137"/>
    <mergeCell ref="L140:L141"/>
    <mergeCell ref="M140:M141"/>
    <mergeCell ref="K140:K141"/>
    <mergeCell ref="J142:J143"/>
    <mergeCell ref="B140:C140"/>
    <mergeCell ref="D140:F140"/>
    <mergeCell ref="E136:E137"/>
    <mergeCell ref="H135:H137"/>
    <mergeCell ref="A143:A144"/>
    <mergeCell ref="B143:C144"/>
    <mergeCell ref="F143:F144"/>
    <mergeCell ref="J140:J141"/>
    <mergeCell ref="A138:A139"/>
    <mergeCell ref="B138:C139"/>
    <mergeCell ref="I144:I145"/>
    <mergeCell ref="B145:C146"/>
    <mergeCell ref="P146:P147"/>
    <mergeCell ref="Q146:Q147"/>
    <mergeCell ref="T139:U139"/>
    <mergeCell ref="T137:U137"/>
    <mergeCell ref="T136:U136"/>
    <mergeCell ref="B135:D137"/>
    <mergeCell ref="A122:C123"/>
    <mergeCell ref="F122:G123"/>
    <mergeCell ref="F119:F120"/>
    <mergeCell ref="J118:J119"/>
    <mergeCell ref="E119:E120"/>
    <mergeCell ref="J120:J121"/>
    <mergeCell ref="G117:G118"/>
    <mergeCell ref="B119:C120"/>
    <mergeCell ref="D119:D120"/>
    <mergeCell ref="A119:A120"/>
    <mergeCell ref="L118:L119"/>
    <mergeCell ref="E117:E118"/>
    <mergeCell ref="I118:I119"/>
    <mergeCell ref="K120:K121"/>
    <mergeCell ref="H117:H118"/>
    <mergeCell ref="J116:J117"/>
    <mergeCell ref="F136:F137"/>
    <mergeCell ref="G136:G137"/>
    <mergeCell ref="K118:K119"/>
    <mergeCell ref="F115:F116"/>
    <mergeCell ref="G115:G116"/>
    <mergeCell ref="H115:H116"/>
    <mergeCell ref="I116:I117"/>
    <mergeCell ref="K116:K117"/>
    <mergeCell ref="L116:L117"/>
    <mergeCell ref="G119:G120"/>
    <mergeCell ref="D117:D118"/>
    <mergeCell ref="B115:C116"/>
    <mergeCell ref="A117:A118"/>
    <mergeCell ref="B117:C118"/>
    <mergeCell ref="F117:F118"/>
    <mergeCell ref="J114:J115"/>
    <mergeCell ref="F113:F114"/>
    <mergeCell ref="N114:N115"/>
    <mergeCell ref="M116:M117"/>
    <mergeCell ref="L114:L115"/>
    <mergeCell ref="A129:C130"/>
    <mergeCell ref="F129:G130"/>
    <mergeCell ref="A124:C125"/>
    <mergeCell ref="F124:G125"/>
    <mergeCell ref="A127:C128"/>
    <mergeCell ref="F127:G128"/>
    <mergeCell ref="T138:U138"/>
    <mergeCell ref="H111:H112"/>
    <mergeCell ref="I112:I113"/>
    <mergeCell ref="H119:H120"/>
    <mergeCell ref="A111:A112"/>
    <mergeCell ref="A115:A116"/>
    <mergeCell ref="D115:D116"/>
    <mergeCell ref="E115:E116"/>
    <mergeCell ref="H113:H114"/>
    <mergeCell ref="I114:I115"/>
    <mergeCell ref="J112:J113"/>
    <mergeCell ref="K114:K115"/>
    <mergeCell ref="G113:G114"/>
    <mergeCell ref="K110:K111"/>
    <mergeCell ref="E111:E112"/>
    <mergeCell ref="F111:F112"/>
    <mergeCell ref="B121:C121"/>
    <mergeCell ref="E121:F121"/>
    <mergeCell ref="I120:I121"/>
    <mergeCell ref="A135:A137"/>
    <mergeCell ref="A109:A110"/>
    <mergeCell ref="B109:C110"/>
    <mergeCell ref="D109:D110"/>
    <mergeCell ref="E109:E110"/>
    <mergeCell ref="M110:M111"/>
    <mergeCell ref="F109:F110"/>
    <mergeCell ref="J108:J109"/>
    <mergeCell ref="L110:L111"/>
    <mergeCell ref="B111:C112"/>
    <mergeCell ref="D111:D112"/>
    <mergeCell ref="A107:A108"/>
    <mergeCell ref="O112:O113"/>
    <mergeCell ref="A105:A106"/>
    <mergeCell ref="A113:A114"/>
    <mergeCell ref="B113:C114"/>
    <mergeCell ref="D113:D114"/>
    <mergeCell ref="E113:E114"/>
    <mergeCell ref="O110:O111"/>
    <mergeCell ref="O108:O109"/>
    <mergeCell ref="N112:N113"/>
    <mergeCell ref="L112:L113"/>
    <mergeCell ref="M108:M109"/>
    <mergeCell ref="K108:K109"/>
    <mergeCell ref="L108:L109"/>
    <mergeCell ref="O114:O115"/>
    <mergeCell ref="M114:M115"/>
    <mergeCell ref="J110:J111"/>
    <mergeCell ref="G109:G110"/>
    <mergeCell ref="H109:H110"/>
    <mergeCell ref="I110:I111"/>
    <mergeCell ref="I108:I109"/>
    <mergeCell ref="G111:G112"/>
    <mergeCell ref="D105:D106"/>
    <mergeCell ref="E105:E106"/>
    <mergeCell ref="J104:J105"/>
    <mergeCell ref="D103:D104"/>
    <mergeCell ref="E103:E104"/>
    <mergeCell ref="G103:G104"/>
    <mergeCell ref="H103:H104"/>
    <mergeCell ref="M104:M105"/>
    <mergeCell ref="B107:C108"/>
    <mergeCell ref="O104:O105"/>
    <mergeCell ref="B105:C106"/>
    <mergeCell ref="D107:D108"/>
    <mergeCell ref="E107:E108"/>
    <mergeCell ref="K104:K105"/>
    <mergeCell ref="L104:L105"/>
    <mergeCell ref="F105:F106"/>
    <mergeCell ref="G105:G106"/>
    <mergeCell ref="H105:H106"/>
    <mergeCell ref="I106:I107"/>
    <mergeCell ref="F107:F108"/>
    <mergeCell ref="G107:G108"/>
    <mergeCell ref="I104:I105"/>
    <mergeCell ref="H107:H108"/>
    <mergeCell ref="K106:K107"/>
    <mergeCell ref="O106:O107"/>
    <mergeCell ref="M106:M107"/>
    <mergeCell ref="L106:L107"/>
    <mergeCell ref="J106:J107"/>
    <mergeCell ref="O102:O103"/>
    <mergeCell ref="A101:A102"/>
    <mergeCell ref="B101:C102"/>
    <mergeCell ref="E101:E102"/>
    <mergeCell ref="A103:A104"/>
    <mergeCell ref="B103:C104"/>
    <mergeCell ref="K100:K101"/>
    <mergeCell ref="F101:F102"/>
    <mergeCell ref="J102:J103"/>
    <mergeCell ref="I100:I101"/>
    <mergeCell ref="H97:H98"/>
    <mergeCell ref="L100:L101"/>
    <mergeCell ref="J100:J101"/>
    <mergeCell ref="M98:M99"/>
    <mergeCell ref="L96:L97"/>
    <mergeCell ref="M96:M97"/>
    <mergeCell ref="K96:K97"/>
    <mergeCell ref="F97:F98"/>
    <mergeCell ref="G97:G98"/>
    <mergeCell ref="I96:I97"/>
    <mergeCell ref="J96:J97"/>
    <mergeCell ref="D96:F96"/>
    <mergeCell ref="D101:D102"/>
    <mergeCell ref="G101:G102"/>
    <mergeCell ref="L98:L99"/>
    <mergeCell ref="J98:J99"/>
    <mergeCell ref="K98:K99"/>
    <mergeCell ref="H99:H100"/>
    <mergeCell ref="K102:K103"/>
    <mergeCell ref="M102:M103"/>
    <mergeCell ref="A91:A93"/>
    <mergeCell ref="B91:D93"/>
    <mergeCell ref="B97:C98"/>
    <mergeCell ref="A94:A95"/>
    <mergeCell ref="B94:C95"/>
    <mergeCell ref="D97:D98"/>
    <mergeCell ref="B96:C96"/>
    <mergeCell ref="H91:H93"/>
    <mergeCell ref="E97:E98"/>
    <mergeCell ref="B77:C77"/>
    <mergeCell ref="E77:F77"/>
    <mergeCell ref="J91:K91"/>
    <mergeCell ref="J92:K92"/>
    <mergeCell ref="J93:K93"/>
    <mergeCell ref="A99:A100"/>
    <mergeCell ref="B99:C100"/>
    <mergeCell ref="D99:D100"/>
    <mergeCell ref="E99:E100"/>
    <mergeCell ref="E92:E93"/>
    <mergeCell ref="F92:F93"/>
    <mergeCell ref="G92:G93"/>
    <mergeCell ref="A83:C84"/>
    <mergeCell ref="F83:G84"/>
    <mergeCell ref="A85:C86"/>
    <mergeCell ref="F85:G86"/>
    <mergeCell ref="A88:B89"/>
    <mergeCell ref="G88:G89"/>
    <mergeCell ref="A80:C81"/>
    <mergeCell ref="I98:I99"/>
    <mergeCell ref="A97:A98"/>
    <mergeCell ref="F99:F100"/>
    <mergeCell ref="G99:G100"/>
    <mergeCell ref="F80:G81"/>
    <mergeCell ref="H75:H76"/>
    <mergeCell ref="F75:F76"/>
    <mergeCell ref="I70:I71"/>
    <mergeCell ref="H73:H74"/>
    <mergeCell ref="I72:I73"/>
    <mergeCell ref="J72:J73"/>
    <mergeCell ref="I76:I77"/>
    <mergeCell ref="K76:K77"/>
    <mergeCell ref="L76:L77"/>
    <mergeCell ref="G75:G76"/>
    <mergeCell ref="K74:K75"/>
    <mergeCell ref="L74:L75"/>
    <mergeCell ref="H101:H102"/>
    <mergeCell ref="I102:I103"/>
    <mergeCell ref="F103:F104"/>
    <mergeCell ref="L102:L103"/>
    <mergeCell ref="J74:J75"/>
    <mergeCell ref="L72:L73"/>
    <mergeCell ref="A78:C79"/>
    <mergeCell ref="F78:G79"/>
    <mergeCell ref="I66:I67"/>
    <mergeCell ref="G63:G64"/>
    <mergeCell ref="H63:H64"/>
    <mergeCell ref="H69:H70"/>
    <mergeCell ref="F69:F70"/>
    <mergeCell ref="G69:G70"/>
    <mergeCell ref="A69:A70"/>
    <mergeCell ref="B69:C70"/>
    <mergeCell ref="D69:D70"/>
    <mergeCell ref="E69:E70"/>
    <mergeCell ref="I74:I75"/>
    <mergeCell ref="F71:F72"/>
    <mergeCell ref="E75:E76"/>
    <mergeCell ref="E73:E74"/>
    <mergeCell ref="F73:F74"/>
    <mergeCell ref="G73:G74"/>
    <mergeCell ref="G71:G72"/>
    <mergeCell ref="A73:A74"/>
    <mergeCell ref="B73:C74"/>
    <mergeCell ref="D73:D74"/>
    <mergeCell ref="A71:A72"/>
    <mergeCell ref="A75:A76"/>
    <mergeCell ref="B75:C76"/>
    <mergeCell ref="D75:D76"/>
    <mergeCell ref="B71:C72"/>
    <mergeCell ref="D71:D72"/>
    <mergeCell ref="E71:E72"/>
    <mergeCell ref="A63:A64"/>
    <mergeCell ref="A65:A66"/>
    <mergeCell ref="H71:H72"/>
    <mergeCell ref="H65:H66"/>
    <mergeCell ref="B65:C66"/>
    <mergeCell ref="D65:D66"/>
    <mergeCell ref="E65:E66"/>
    <mergeCell ref="G65:G66"/>
    <mergeCell ref="F67:F68"/>
    <mergeCell ref="G67:G68"/>
    <mergeCell ref="I60:I61"/>
    <mergeCell ref="G61:G62"/>
    <mergeCell ref="H61:H62"/>
    <mergeCell ref="B63:C64"/>
    <mergeCell ref="D63:D64"/>
    <mergeCell ref="F63:F64"/>
    <mergeCell ref="E63:E64"/>
    <mergeCell ref="I62:I63"/>
    <mergeCell ref="D67:D68"/>
    <mergeCell ref="E67:E68"/>
    <mergeCell ref="H67:H68"/>
    <mergeCell ref="I68:I69"/>
    <mergeCell ref="F65:F66"/>
    <mergeCell ref="I64:I65"/>
    <mergeCell ref="G59:G60"/>
    <mergeCell ref="A67:A68"/>
    <mergeCell ref="B67:C68"/>
    <mergeCell ref="D61:D62"/>
    <mergeCell ref="M60:M61"/>
    <mergeCell ref="O60:O61"/>
    <mergeCell ref="J62:J63"/>
    <mergeCell ref="L60:L61"/>
    <mergeCell ref="J60:J61"/>
    <mergeCell ref="K60:K61"/>
    <mergeCell ref="N60:N61"/>
    <mergeCell ref="M62:M63"/>
    <mergeCell ref="D59:D60"/>
    <mergeCell ref="E59:E60"/>
    <mergeCell ref="A59:A60"/>
    <mergeCell ref="H55:H56"/>
    <mergeCell ref="G55:G56"/>
    <mergeCell ref="I56:I57"/>
    <mergeCell ref="L56:L57"/>
    <mergeCell ref="O54:O55"/>
    <mergeCell ref="B59:C60"/>
    <mergeCell ref="B61:C62"/>
    <mergeCell ref="H59:H60"/>
    <mergeCell ref="F59:F60"/>
    <mergeCell ref="F61:F62"/>
    <mergeCell ref="A61:A62"/>
    <mergeCell ref="E61:E62"/>
    <mergeCell ref="E57:E58"/>
    <mergeCell ref="F55:F56"/>
    <mergeCell ref="H53:H54"/>
    <mergeCell ref="H57:H58"/>
    <mergeCell ref="I58:I59"/>
    <mergeCell ref="M66:M67"/>
    <mergeCell ref="M52:M53"/>
    <mergeCell ref="L52:L53"/>
    <mergeCell ref="J52:J53"/>
    <mergeCell ref="G48:G49"/>
    <mergeCell ref="H47:H49"/>
    <mergeCell ref="I52:I53"/>
    <mergeCell ref="I54:I55"/>
    <mergeCell ref="J54:J55"/>
    <mergeCell ref="K54:K55"/>
    <mergeCell ref="A57:A58"/>
    <mergeCell ref="B57:C58"/>
    <mergeCell ref="A55:A56"/>
    <mergeCell ref="B55:C56"/>
    <mergeCell ref="D55:D56"/>
    <mergeCell ref="E55:E56"/>
    <mergeCell ref="F57:F58"/>
    <mergeCell ref="D57:D58"/>
    <mergeCell ref="J58:J59"/>
    <mergeCell ref="K58:K59"/>
    <mergeCell ref="L58:L59"/>
    <mergeCell ref="M58:M59"/>
    <mergeCell ref="A53:A54"/>
    <mergeCell ref="G53:G54"/>
    <mergeCell ref="A46:B46"/>
    <mergeCell ref="A39:C40"/>
    <mergeCell ref="F39:G40"/>
    <mergeCell ref="E46:G46"/>
    <mergeCell ref="A41:C42"/>
    <mergeCell ref="F41:G42"/>
    <mergeCell ref="B53:C54"/>
    <mergeCell ref="D53:D54"/>
    <mergeCell ref="E53:E54"/>
    <mergeCell ref="F53:F54"/>
    <mergeCell ref="A50:A51"/>
    <mergeCell ref="B50:C51"/>
    <mergeCell ref="B52:C52"/>
    <mergeCell ref="D52:F52"/>
    <mergeCell ref="A47:A49"/>
    <mergeCell ref="B47:D49"/>
    <mergeCell ref="L47:L49"/>
    <mergeCell ref="E48:E49"/>
    <mergeCell ref="F48:F49"/>
    <mergeCell ref="A44:B45"/>
    <mergeCell ref="G44:G45"/>
    <mergeCell ref="K52:K53"/>
    <mergeCell ref="D25:D26"/>
    <mergeCell ref="F25:F26"/>
    <mergeCell ref="H23:H24"/>
    <mergeCell ref="I24:I25"/>
    <mergeCell ref="E23:E24"/>
    <mergeCell ref="E29:E30"/>
    <mergeCell ref="E27:E28"/>
    <mergeCell ref="I28:I29"/>
    <mergeCell ref="G27:G28"/>
    <mergeCell ref="G31:G32"/>
    <mergeCell ref="H31:H32"/>
    <mergeCell ref="I32:I33"/>
    <mergeCell ref="F27:F28"/>
    <mergeCell ref="J30:J31"/>
    <mergeCell ref="H29:H30"/>
    <mergeCell ref="A29:A30"/>
    <mergeCell ref="H25:H26"/>
    <mergeCell ref="I26:I27"/>
    <mergeCell ref="B29:C30"/>
    <mergeCell ref="D29:D30"/>
    <mergeCell ref="J28:J29"/>
    <mergeCell ref="J32:J33"/>
    <mergeCell ref="A31:A32"/>
    <mergeCell ref="B31:C32"/>
    <mergeCell ref="B23:C24"/>
    <mergeCell ref="D23:D24"/>
    <mergeCell ref="J24:J25"/>
    <mergeCell ref="G25:G26"/>
    <mergeCell ref="A27:A28"/>
    <mergeCell ref="B27:C28"/>
    <mergeCell ref="D27:D28"/>
    <mergeCell ref="A6:A7"/>
    <mergeCell ref="B6:C7"/>
    <mergeCell ref="E13:E14"/>
    <mergeCell ref="I10:I11"/>
    <mergeCell ref="A15:A16"/>
    <mergeCell ref="E15:E16"/>
    <mergeCell ref="F11:F12"/>
    <mergeCell ref="B9:C10"/>
    <mergeCell ref="B17:C18"/>
    <mergeCell ref="D17:D18"/>
    <mergeCell ref="I22:I23"/>
    <mergeCell ref="F9:F10"/>
    <mergeCell ref="G9:G10"/>
    <mergeCell ref="A36:C37"/>
    <mergeCell ref="F31:F32"/>
    <mergeCell ref="E33:F33"/>
    <mergeCell ref="A34:C35"/>
    <mergeCell ref="F34:G35"/>
    <mergeCell ref="D31:D32"/>
    <mergeCell ref="E31:E32"/>
    <mergeCell ref="G21:G22"/>
    <mergeCell ref="E21:E22"/>
    <mergeCell ref="G17:G18"/>
    <mergeCell ref="A11:A12"/>
    <mergeCell ref="B11:C12"/>
    <mergeCell ref="D11:D12"/>
    <mergeCell ref="B33:C33"/>
    <mergeCell ref="A25:A26"/>
    <mergeCell ref="B25:C26"/>
    <mergeCell ref="A3:A5"/>
    <mergeCell ref="L24:L25"/>
    <mergeCell ref="E25:E26"/>
    <mergeCell ref="K26:K27"/>
    <mergeCell ref="B3:D5"/>
    <mergeCell ref="B21:C22"/>
    <mergeCell ref="E11:E12"/>
    <mergeCell ref="F19:F20"/>
    <mergeCell ref="J20:J21"/>
    <mergeCell ref="A13:A14"/>
    <mergeCell ref="B13:C14"/>
    <mergeCell ref="D13:D14"/>
    <mergeCell ref="A9:A10"/>
    <mergeCell ref="H27:H28"/>
    <mergeCell ref="F29:F30"/>
    <mergeCell ref="K12:K13"/>
    <mergeCell ref="M12:M13"/>
    <mergeCell ref="K24:K25"/>
    <mergeCell ref="G29:G30"/>
    <mergeCell ref="I30:I31"/>
    <mergeCell ref="K18:K19"/>
    <mergeCell ref="J16:J17"/>
    <mergeCell ref="I8:I9"/>
    <mergeCell ref="J8:J9"/>
    <mergeCell ref="H9:H10"/>
    <mergeCell ref="I12:I13"/>
    <mergeCell ref="E17:E18"/>
    <mergeCell ref="B15:C16"/>
    <mergeCell ref="H13:H14"/>
    <mergeCell ref="D15:D16"/>
    <mergeCell ref="I14:I15"/>
    <mergeCell ref="F23:F24"/>
    <mergeCell ref="B8:C8"/>
    <mergeCell ref="D8:F8"/>
    <mergeCell ref="A23:A24"/>
    <mergeCell ref="L20:L21"/>
    <mergeCell ref="F21:F22"/>
    <mergeCell ref="J22:J23"/>
    <mergeCell ref="H21:H22"/>
    <mergeCell ref="I18:I19"/>
    <mergeCell ref="F17:F18"/>
    <mergeCell ref="H17:H18"/>
    <mergeCell ref="A17:A18"/>
    <mergeCell ref="J18:J19"/>
    <mergeCell ref="G19:G20"/>
    <mergeCell ref="H19:H20"/>
    <mergeCell ref="L16:L17"/>
    <mergeCell ref="A19:A20"/>
    <mergeCell ref="B19:C20"/>
    <mergeCell ref="D19:D20"/>
    <mergeCell ref="E19:E20"/>
    <mergeCell ref="K22:K23"/>
    <mergeCell ref="L22:L23"/>
    <mergeCell ref="G23:G24"/>
    <mergeCell ref="L18:L19"/>
    <mergeCell ref="D21:D22"/>
    <mergeCell ref="A21:A22"/>
    <mergeCell ref="K20:K21"/>
    <mergeCell ref="D9:D10"/>
    <mergeCell ref="N12:N13"/>
    <mergeCell ref="K14:K15"/>
    <mergeCell ref="L14:L15"/>
    <mergeCell ref="N14:N15"/>
    <mergeCell ref="H11:H12"/>
    <mergeCell ref="F13:F14"/>
    <mergeCell ref="G13:G14"/>
    <mergeCell ref="J14:J15"/>
    <mergeCell ref="E4:E5"/>
    <mergeCell ref="G11:G12"/>
    <mergeCell ref="E9:E10"/>
    <mergeCell ref="G4:G5"/>
    <mergeCell ref="L10:L11"/>
    <mergeCell ref="H3:H5"/>
    <mergeCell ref="L3:L5"/>
    <mergeCell ref="M16:M17"/>
    <mergeCell ref="N3:O3"/>
    <mergeCell ref="J4:K4"/>
    <mergeCell ref="N4:O4"/>
    <mergeCell ref="J5:K5"/>
    <mergeCell ref="J3:K3"/>
    <mergeCell ref="J225:K225"/>
    <mergeCell ref="N225:O225"/>
    <mergeCell ref="J179:K179"/>
    <mergeCell ref="N179:O179"/>
    <mergeCell ref="J180:K180"/>
    <mergeCell ref="N180:O180"/>
    <mergeCell ref="J181:K181"/>
    <mergeCell ref="N181:O181"/>
    <mergeCell ref="J135:K135"/>
    <mergeCell ref="N135:O135"/>
    <mergeCell ref="J136:K136"/>
    <mergeCell ref="N136:O136"/>
    <mergeCell ref="J137:K137"/>
    <mergeCell ref="N137:O137"/>
    <mergeCell ref="N194:N195"/>
    <mergeCell ref="N196:N197"/>
    <mergeCell ref="N198:N199"/>
    <mergeCell ref="J224:K224"/>
    <mergeCell ref="J156:J157"/>
    <mergeCell ref="M156:M157"/>
    <mergeCell ref="J164:J165"/>
    <mergeCell ref="M160:M161"/>
    <mergeCell ref="K160:K161"/>
    <mergeCell ref="L160:L161"/>
    <mergeCell ref="M162:M163"/>
    <mergeCell ref="K162:K163"/>
    <mergeCell ref="O164:O165"/>
    <mergeCell ref="O162:O163"/>
    <mergeCell ref="M164:M165"/>
    <mergeCell ref="L164:L165"/>
    <mergeCell ref="L162:L163"/>
    <mergeCell ref="N162:N163"/>
    <mergeCell ref="M72:M73"/>
    <mergeCell ref="N68:N69"/>
    <mergeCell ref="K32:K33"/>
    <mergeCell ref="K30:K31"/>
    <mergeCell ref="M32:M33"/>
    <mergeCell ref="L32:L33"/>
    <mergeCell ref="M56:M57"/>
    <mergeCell ref="J47:K47"/>
    <mergeCell ref="J48:K48"/>
    <mergeCell ref="N5:O5"/>
    <mergeCell ref="K10:K11"/>
    <mergeCell ref="L12:L13"/>
    <mergeCell ref="O18:O19"/>
    <mergeCell ref="O16:O17"/>
    <mergeCell ref="K16:K17"/>
    <mergeCell ref="F15:F16"/>
    <mergeCell ref="G15:G16"/>
    <mergeCell ref="F4:F5"/>
    <mergeCell ref="K8:K9"/>
    <mergeCell ref="L8:L9"/>
    <mergeCell ref="J10:J11"/>
    <mergeCell ref="J12:J13"/>
    <mergeCell ref="M20:M21"/>
    <mergeCell ref="I20:I21"/>
    <mergeCell ref="J26:J27"/>
    <mergeCell ref="N18:N19"/>
    <mergeCell ref="H15:H16"/>
    <mergeCell ref="I16:I17"/>
    <mergeCell ref="M30:M31"/>
    <mergeCell ref="K28:K29"/>
    <mergeCell ref="F36:G37"/>
    <mergeCell ref="G57:G58"/>
    <mergeCell ref="N66:N67"/>
    <mergeCell ref="N91:O91"/>
    <mergeCell ref="N92:O92"/>
    <mergeCell ref="K112:K113"/>
    <mergeCell ref="O70:O71"/>
    <mergeCell ref="L66:L67"/>
    <mergeCell ref="O64:O65"/>
    <mergeCell ref="K62:K63"/>
    <mergeCell ref="L62:L63"/>
    <mergeCell ref="J64:J65"/>
    <mergeCell ref="L68:L69"/>
    <mergeCell ref="K70:K71"/>
    <mergeCell ref="L70:L71"/>
    <mergeCell ref="K66:K67"/>
    <mergeCell ref="K64:K65"/>
    <mergeCell ref="L64:L65"/>
    <mergeCell ref="L54:L55"/>
    <mergeCell ref="M54:M55"/>
    <mergeCell ref="J68:J69"/>
    <mergeCell ref="K68:K69"/>
    <mergeCell ref="N54:N55"/>
    <mergeCell ref="N70:N71"/>
    <mergeCell ref="J70:J71"/>
    <mergeCell ref="M68:M69"/>
    <mergeCell ref="M70:M71"/>
    <mergeCell ref="O100:O101"/>
    <mergeCell ref="O98:O99"/>
    <mergeCell ref="M100:M101"/>
    <mergeCell ref="N72:N73"/>
    <mergeCell ref="M76:M77"/>
    <mergeCell ref="M74:M75"/>
    <mergeCell ref="J76:J77"/>
    <mergeCell ref="O30:O31"/>
    <mergeCell ref="M10:M11"/>
    <mergeCell ref="M14:M15"/>
    <mergeCell ref="L188:L189"/>
    <mergeCell ref="N106:N107"/>
    <mergeCell ref="N224:O224"/>
    <mergeCell ref="N192:N193"/>
    <mergeCell ref="L156:L157"/>
    <mergeCell ref="O66:O67"/>
    <mergeCell ref="O74:O75"/>
    <mergeCell ref="O72:O73"/>
    <mergeCell ref="O76:O77"/>
    <mergeCell ref="J223:K223"/>
    <mergeCell ref="N223:O223"/>
    <mergeCell ref="N32:N33"/>
    <mergeCell ref="N190:N191"/>
    <mergeCell ref="N160:N161"/>
    <mergeCell ref="N152:N153"/>
    <mergeCell ref="J49:K49"/>
    <mergeCell ref="M118:M119"/>
    <mergeCell ref="L148:L149"/>
    <mergeCell ref="K72:K73"/>
    <mergeCell ref="O32:O33"/>
    <mergeCell ref="N47:O47"/>
    <mergeCell ref="N48:O48"/>
    <mergeCell ref="N49:O49"/>
    <mergeCell ref="J56:J57"/>
    <mergeCell ref="K56:K57"/>
    <mergeCell ref="O62:O63"/>
    <mergeCell ref="O58:O59"/>
    <mergeCell ref="N58:N59"/>
    <mergeCell ref="J66:J67"/>
    <mergeCell ref="X177:Y177"/>
    <mergeCell ref="Y53:Z53"/>
    <mergeCell ref="Y54:Z54"/>
    <mergeCell ref="Y55:Z55"/>
    <mergeCell ref="Y56:Z56"/>
    <mergeCell ref="X136:Y136"/>
    <mergeCell ref="X137:Y137"/>
    <mergeCell ref="X138:Y138"/>
    <mergeCell ref="X139:Y139"/>
    <mergeCell ref="X140:Y140"/>
    <mergeCell ref="X141:Y141"/>
    <mergeCell ref="X172:Y172"/>
    <mergeCell ref="N62:N63"/>
    <mergeCell ref="N64:N65"/>
    <mergeCell ref="N104:N105"/>
    <mergeCell ref="N116:N117"/>
    <mergeCell ref="L26:L27"/>
    <mergeCell ref="L30:L31"/>
    <mergeCell ref="O26:O27"/>
    <mergeCell ref="L91:L93"/>
    <mergeCell ref="O96:O97"/>
    <mergeCell ref="N98:N99"/>
    <mergeCell ref="M120:M121"/>
    <mergeCell ref="L120:L121"/>
    <mergeCell ref="O120:O121"/>
    <mergeCell ref="N120:N121"/>
    <mergeCell ref="N146:N147"/>
    <mergeCell ref="N164:N165"/>
    <mergeCell ref="N156:N157"/>
    <mergeCell ref="L28:L29"/>
    <mergeCell ref="Q54:Q55"/>
    <mergeCell ref="N52:N53"/>
    <mergeCell ref="M226:M227"/>
    <mergeCell ref="M182:M183"/>
    <mergeCell ref="M138:M139"/>
    <mergeCell ref="M94:M95"/>
    <mergeCell ref="M50:M51"/>
    <mergeCell ref="O24:O25"/>
    <mergeCell ref="M24:M25"/>
    <mergeCell ref="O200:O201"/>
    <mergeCell ref="O198:O199"/>
    <mergeCell ref="O188:O189"/>
    <mergeCell ref="N188:N189"/>
    <mergeCell ref="O186:O187"/>
    <mergeCell ref="M186:M187"/>
    <mergeCell ref="O202:O203"/>
    <mergeCell ref="N184:N185"/>
    <mergeCell ref="O52:O53"/>
    <mergeCell ref="O194:O195"/>
    <mergeCell ref="M194:M195"/>
    <mergeCell ref="N118:N119"/>
    <mergeCell ref="N74:N75"/>
    <mergeCell ref="N76:N77"/>
    <mergeCell ref="N96:N97"/>
    <mergeCell ref="N102:N103"/>
    <mergeCell ref="N100:N101"/>
    <mergeCell ref="O56:O57"/>
    <mergeCell ref="N93:O93"/>
    <mergeCell ref="M112:M113"/>
    <mergeCell ref="O118:O119"/>
    <mergeCell ref="O116:O117"/>
    <mergeCell ref="N108:N109"/>
    <mergeCell ref="N110:N111"/>
    <mergeCell ref="O68:O69"/>
    <mergeCell ref="N158:N159"/>
    <mergeCell ref="M64:M65"/>
    <mergeCell ref="O204:O205"/>
    <mergeCell ref="M26:M27"/>
    <mergeCell ref="N24:N25"/>
    <mergeCell ref="O28:O29"/>
    <mergeCell ref="M28:M29"/>
    <mergeCell ref="N22:N23"/>
    <mergeCell ref="P52:P53"/>
    <mergeCell ref="Q52:Q53"/>
    <mergeCell ref="P54:P55"/>
    <mergeCell ref="N26:N27"/>
    <mergeCell ref="N28:N29"/>
    <mergeCell ref="N30:N31"/>
    <mergeCell ref="M6:M7"/>
    <mergeCell ref="N8:N9"/>
    <mergeCell ref="N10:N11"/>
    <mergeCell ref="N16:N17"/>
    <mergeCell ref="O20:O21"/>
    <mergeCell ref="N20:N21"/>
    <mergeCell ref="M22:M23"/>
    <mergeCell ref="M18:M19"/>
    <mergeCell ref="O8:O9"/>
    <mergeCell ref="O10:O11"/>
    <mergeCell ref="O14:O15"/>
    <mergeCell ref="O12:O13"/>
    <mergeCell ref="M8:M9"/>
    <mergeCell ref="O22:O23"/>
    <mergeCell ref="N56:N57"/>
  </mergeCells>
  <phoneticPr fontId="1"/>
  <conditionalFormatting sqref="D9:E32">
    <cfRule type="cellIs" dxfId="24" priority="17" stopIfTrue="1" operator="between">
      <formula>0</formula>
      <formula>0</formula>
    </cfRule>
  </conditionalFormatting>
  <conditionalFormatting sqref="D53:E76">
    <cfRule type="cellIs" dxfId="23" priority="21" stopIfTrue="1" operator="between">
      <formula>0</formula>
      <formula>0</formula>
    </cfRule>
  </conditionalFormatting>
  <conditionalFormatting sqref="D97:E120">
    <cfRule type="cellIs" dxfId="22" priority="13" stopIfTrue="1" operator="between">
      <formula>0</formula>
      <formula>0</formula>
    </cfRule>
  </conditionalFormatting>
  <conditionalFormatting sqref="D141:E164">
    <cfRule type="cellIs" dxfId="21" priority="9" stopIfTrue="1" operator="between">
      <formula>0</formula>
      <formula>0</formula>
    </cfRule>
  </conditionalFormatting>
  <conditionalFormatting sqref="D185:E208">
    <cfRule type="cellIs" dxfId="20" priority="5" stopIfTrue="1" operator="between">
      <formula>0</formula>
      <formula>0</formula>
    </cfRule>
  </conditionalFormatting>
  <conditionalFormatting sqref="D229:E252">
    <cfRule type="cellIs" dxfId="19" priority="1" stopIfTrue="1" operator="between">
      <formula>0</formula>
      <formula>0</formula>
    </cfRule>
  </conditionalFormatting>
  <conditionalFormatting sqref="M8:M9">
    <cfRule type="expression" dxfId="18" priority="18" stopIfTrue="1">
      <formula>M9="×"</formula>
    </cfRule>
  </conditionalFormatting>
  <conditionalFormatting sqref="M10:M33">
    <cfRule type="expression" dxfId="17" priority="20" stopIfTrue="1">
      <formula>M10="×"</formula>
    </cfRule>
  </conditionalFormatting>
  <conditionalFormatting sqref="M52:M53">
    <cfRule type="expression" dxfId="16" priority="22" stopIfTrue="1">
      <formula>M53="×"</formula>
    </cfRule>
  </conditionalFormatting>
  <conditionalFormatting sqref="M54:M77">
    <cfRule type="expression" dxfId="15" priority="24" stopIfTrue="1">
      <formula>M54="×"</formula>
    </cfRule>
  </conditionalFormatting>
  <conditionalFormatting sqref="M96:M97">
    <cfRule type="expression" dxfId="14" priority="14" stopIfTrue="1">
      <formula>M97="×"</formula>
    </cfRule>
  </conditionalFormatting>
  <conditionalFormatting sqref="M98:M121">
    <cfRule type="expression" dxfId="13" priority="16" stopIfTrue="1">
      <formula>M98="×"</formula>
    </cfRule>
  </conditionalFormatting>
  <conditionalFormatting sqref="M140:M141">
    <cfRule type="expression" dxfId="12" priority="10" stopIfTrue="1">
      <formula>M141="×"</formula>
    </cfRule>
  </conditionalFormatting>
  <conditionalFormatting sqref="M142:M165">
    <cfRule type="expression" dxfId="11" priority="12" stopIfTrue="1">
      <formula>M142="×"</formula>
    </cfRule>
  </conditionalFormatting>
  <conditionalFormatting sqref="M184:M185">
    <cfRule type="expression" dxfId="10" priority="6" stopIfTrue="1">
      <formula>M185="×"</formula>
    </cfRule>
  </conditionalFormatting>
  <conditionalFormatting sqref="M186:M209">
    <cfRule type="expression" dxfId="9" priority="8" stopIfTrue="1">
      <formula>M186="×"</formula>
    </cfRule>
  </conditionalFormatting>
  <conditionalFormatting sqref="M228:M229">
    <cfRule type="expression" dxfId="8" priority="2" stopIfTrue="1">
      <formula>M229="×"</formula>
    </cfRule>
  </conditionalFormatting>
  <conditionalFormatting sqref="M230:M253">
    <cfRule type="expression" dxfId="7" priority="4" stopIfTrue="1">
      <formula>M230="×"</formula>
    </cfRule>
  </conditionalFormatting>
  <conditionalFormatting sqref="N8:N33">
    <cfRule type="expression" dxfId="6" priority="19" stopIfTrue="1">
      <formula>$N8&gt;0.9</formula>
    </cfRule>
  </conditionalFormatting>
  <conditionalFormatting sqref="N52:N77">
    <cfRule type="expression" dxfId="5" priority="23" stopIfTrue="1">
      <formula>$N52&gt;0.9</formula>
    </cfRule>
  </conditionalFormatting>
  <conditionalFormatting sqref="N96:N121">
    <cfRule type="expression" dxfId="4" priority="15" stopIfTrue="1">
      <formula>$N96&gt;0.9</formula>
    </cfRule>
  </conditionalFormatting>
  <conditionalFormatting sqref="N140:N165">
    <cfRule type="expression" dxfId="3" priority="11" stopIfTrue="1">
      <formula>$N140&gt;0.9</formula>
    </cfRule>
  </conditionalFormatting>
  <conditionalFormatting sqref="N184:N209">
    <cfRule type="expression" dxfId="2" priority="7" stopIfTrue="1">
      <formula>$N184&gt;0.9</formula>
    </cfRule>
  </conditionalFormatting>
  <conditionalFormatting sqref="N228:N253">
    <cfRule type="expression" dxfId="1" priority="3" stopIfTrue="1">
      <formula>$N228&gt;0.9</formula>
    </cfRule>
  </conditionalFormatting>
  <conditionalFormatting sqref="O34:Q35 M34:N43 O78:Q79 M78:N87 O122:Q123 M122:N131 O166:Q167 M166:N175 O210:Q211 M210:N219 O254:Q255 M254:N263">
    <cfRule type="expression" dxfId="0" priority="56" stopIfTrue="1">
      <formula>"×"</formula>
    </cfRule>
  </conditionalFormatting>
  <dataValidations count="4">
    <dataValidation type="list" allowBlank="1" showInputMessage="1" showErrorMessage="1" sqref="F4:F5 F224:F225 F92:F93 F136:F137 F180:F181 F48:F49" xr:uid="{00000000-0002-0000-0B00-000000000000}">
      <formula1>"外壁,屋根,天井,床"</formula1>
    </dataValidation>
    <dataValidation type="list" allowBlank="1" showInputMessage="1" showErrorMessage="1" sqref="G4:G5 G224:G225 G92:G93 G136:G137 G180:G181 G48:G49" xr:uid="{00000000-0002-0000-0B00-000001000000}">
      <formula1>"冬型結露,夏型結露"</formula1>
    </dataValidation>
    <dataValidation type="list" allowBlank="1" showInputMessage="1" showErrorMessage="1" sqref="E33:F33 E253:F253 E209:F209 E165:F165 E121:F121 E77:F77" xr:uid="{00000000-0002-0000-0B00-000002000000}">
      <formula1>"通気層工法(18mm以上),通気層工法(9mm以上),通気層なし"</formula1>
    </dataValidation>
    <dataValidation type="list" allowBlank="1" showInputMessage="1" showErrorMessage="1" sqref="E4:E5 E92:E93 E136:E137 E180:E181 E224:E225 E48:E49" xr:uid="{00000000-0002-0000-0B00-000003000000}">
      <formula1>"1地域,2地域,3地域,4地域,5地域,6地域,7地域,8地域"</formula1>
    </dataValidation>
  </dataValidations>
  <pageMargins left="0.25" right="0.25" top="0.75" bottom="0.75" header="0.3" footer="0.3"/>
  <pageSetup paperSize="9" scale="61" fitToHeight="0" orientation="portrait" r:id="rId1"/>
  <headerFooter alignWithMargins="0"/>
  <rowBreaks count="3" manualBreakCount="3">
    <brk id="90" max="14" man="1"/>
    <brk id="178" max="14" man="1"/>
    <brk id="265"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7ED8941-2161-40E8-A773-6F175D8D672A}">
          <x14:formula1>
            <xm:f>素材データ!$A$5:$A$384</xm:f>
          </x14:formula1>
          <xm:sqref>B229:C252 B97:C120 B53:C76 B185:C208 B141:C164 B9:C32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0">
    <tabColor theme="1" tint="0.249977111117893"/>
    <pageSetUpPr fitToPage="1"/>
  </sheetPr>
  <dimension ref="A1:AF459"/>
  <sheetViews>
    <sheetView workbookViewId="0">
      <pane xSplit="1" ySplit="4" topLeftCell="B5" activePane="bottomRight" state="frozen"/>
      <selection pane="topRight" activeCell="B1" sqref="B1"/>
      <selection pane="bottomLeft" activeCell="A5" sqref="A5"/>
      <selection pane="bottomRight" activeCell="A12" sqref="A12"/>
    </sheetView>
  </sheetViews>
  <sheetFormatPr defaultColWidth="9" defaultRowHeight="11.65" x14ac:dyDescent="0.25"/>
  <cols>
    <col min="1" max="1" width="45.19921875" style="82" bestFit="1" customWidth="1"/>
    <col min="2" max="2" width="9.59765625" style="100" customWidth="1"/>
    <col min="3" max="3" width="3.59765625" style="360" customWidth="1"/>
    <col min="4" max="4" width="10.06640625" style="102" customWidth="1"/>
    <col min="5" max="5" width="3.59765625" style="360" customWidth="1"/>
    <col min="6" max="6" width="10.06640625" style="82" customWidth="1"/>
    <col min="7" max="7" width="3.59765625" style="360" customWidth="1"/>
    <col min="8" max="8" width="6.59765625" style="82" customWidth="1"/>
    <col min="9" max="9" width="9.59765625" style="82" customWidth="1"/>
    <col min="10" max="10" width="3.59765625" style="360" customWidth="1"/>
    <col min="11" max="11" width="9.59765625" style="102" customWidth="1"/>
    <col min="12" max="12" width="3.59765625" style="360" customWidth="1"/>
    <col min="13" max="13" width="9.59765625" style="82" customWidth="1"/>
    <col min="14" max="14" width="3.59765625" style="360" customWidth="1"/>
    <col min="15" max="15" width="9.59765625" style="82" customWidth="1"/>
    <col min="16" max="16" width="3.59765625" style="360" customWidth="1"/>
    <col min="17" max="17" width="9.59765625" style="82" customWidth="1"/>
    <col min="18" max="18" width="3.59765625" style="360" customWidth="1"/>
    <col min="19" max="19" width="9.59765625" style="82" customWidth="1"/>
    <col min="20" max="20" width="3.59765625" style="360" customWidth="1"/>
    <col min="21" max="21" width="9.59765625" style="82" customWidth="1"/>
    <col min="22" max="22" width="3.59765625" style="360" customWidth="1"/>
    <col min="23" max="26" width="10.73046875" style="101" customWidth="1"/>
    <col min="27" max="27" width="35.59765625" style="82" customWidth="1"/>
    <col min="28" max="32" width="12.59765625" style="103" customWidth="1"/>
    <col min="33" max="16384" width="9" style="13"/>
  </cols>
  <sheetData>
    <row r="1" spans="1:32" ht="12.75" thickBot="1" x14ac:dyDescent="0.3">
      <c r="A1" s="1" t="s">
        <v>643</v>
      </c>
    </row>
    <row r="2" spans="1:32" ht="20.25" customHeight="1" x14ac:dyDescent="0.25">
      <c r="A2" s="104" t="s">
        <v>736</v>
      </c>
      <c r="B2" s="105"/>
      <c r="C2" s="361"/>
      <c r="D2" s="107"/>
      <c r="E2" s="361"/>
      <c r="F2" s="105"/>
      <c r="G2" s="361"/>
      <c r="H2" s="105"/>
      <c r="I2" s="105"/>
      <c r="J2" s="361"/>
      <c r="K2" s="107"/>
      <c r="L2" s="361"/>
      <c r="M2" s="105"/>
      <c r="N2" s="361"/>
      <c r="O2" s="105"/>
      <c r="P2" s="361"/>
      <c r="Q2" s="105"/>
      <c r="R2" s="361"/>
      <c r="S2" s="105"/>
      <c r="T2" s="361"/>
      <c r="U2" s="105"/>
      <c r="V2" s="361"/>
      <c r="W2" s="106"/>
      <c r="X2" s="106"/>
      <c r="Y2" s="106"/>
      <c r="Z2" s="106"/>
      <c r="AA2" s="108"/>
    </row>
    <row r="3" spans="1:32" s="16" customFormat="1" ht="15" customHeight="1" x14ac:dyDescent="0.25">
      <c r="A3" s="109" t="s">
        <v>296</v>
      </c>
      <c r="B3" s="600" t="s">
        <v>277</v>
      </c>
      <c r="C3" s="601"/>
      <c r="D3" s="602" t="s">
        <v>278</v>
      </c>
      <c r="E3" s="606"/>
      <c r="F3" s="602" t="s">
        <v>278</v>
      </c>
      <c r="G3" s="603"/>
      <c r="H3" s="110" t="s">
        <v>165</v>
      </c>
      <c r="I3" s="600" t="s">
        <v>167</v>
      </c>
      <c r="J3" s="601"/>
      <c r="K3" s="607" t="s">
        <v>166</v>
      </c>
      <c r="L3" s="608"/>
      <c r="M3" s="607" t="s">
        <v>166</v>
      </c>
      <c r="N3" s="608"/>
      <c r="O3" s="604" t="s">
        <v>252</v>
      </c>
      <c r="P3" s="605"/>
      <c r="Q3" s="604" t="s">
        <v>127</v>
      </c>
      <c r="R3" s="605"/>
      <c r="S3" s="604" t="s">
        <v>45</v>
      </c>
      <c r="T3" s="605"/>
      <c r="U3" s="604" t="s">
        <v>128</v>
      </c>
      <c r="V3" s="605"/>
      <c r="W3" s="10" t="s">
        <v>563</v>
      </c>
      <c r="X3" s="10" t="s">
        <v>564</v>
      </c>
      <c r="Y3" s="111" t="s">
        <v>582</v>
      </c>
      <c r="Z3" s="111" t="s">
        <v>566</v>
      </c>
      <c r="AA3" s="609" t="s">
        <v>28</v>
      </c>
      <c r="AB3" s="597" t="s">
        <v>343</v>
      </c>
      <c r="AC3" s="598"/>
      <c r="AD3" s="112"/>
      <c r="AE3" s="112"/>
      <c r="AF3" s="112"/>
    </row>
    <row r="4" spans="1:32" s="16" customFormat="1" ht="15" customHeight="1" thickBot="1" x14ac:dyDescent="0.3">
      <c r="A4" s="113" t="s">
        <v>29</v>
      </c>
      <c r="B4" s="114" t="s">
        <v>628</v>
      </c>
      <c r="C4" s="362" t="s">
        <v>151</v>
      </c>
      <c r="D4" s="115" t="s">
        <v>694</v>
      </c>
      <c r="E4" s="405" t="s">
        <v>151</v>
      </c>
      <c r="F4" s="116" t="s">
        <v>695</v>
      </c>
      <c r="G4" s="381" t="s">
        <v>151</v>
      </c>
      <c r="H4" s="117" t="s">
        <v>152</v>
      </c>
      <c r="I4" s="114" t="s">
        <v>696</v>
      </c>
      <c r="J4" s="362" t="s">
        <v>151</v>
      </c>
      <c r="K4" s="118" t="s">
        <v>697</v>
      </c>
      <c r="L4" s="412" t="s">
        <v>151</v>
      </c>
      <c r="M4" s="119" t="s">
        <v>698</v>
      </c>
      <c r="N4" s="412" t="s">
        <v>151</v>
      </c>
      <c r="O4" s="4" t="s">
        <v>693</v>
      </c>
      <c r="P4" s="427" t="s">
        <v>151</v>
      </c>
      <c r="Q4" s="4" t="s">
        <v>223</v>
      </c>
      <c r="R4" s="427" t="s">
        <v>151</v>
      </c>
      <c r="S4" s="4" t="s">
        <v>692</v>
      </c>
      <c r="T4" s="427" t="s">
        <v>151</v>
      </c>
      <c r="U4" s="4" t="s">
        <v>224</v>
      </c>
      <c r="V4" s="427" t="s">
        <v>151</v>
      </c>
      <c r="W4" s="120" t="s">
        <v>691</v>
      </c>
      <c r="X4" s="120" t="s">
        <v>690</v>
      </c>
      <c r="Y4" s="121" t="s">
        <v>565</v>
      </c>
      <c r="Z4" s="121" t="s">
        <v>567</v>
      </c>
      <c r="AA4" s="610"/>
      <c r="AB4" s="112" t="s">
        <v>344</v>
      </c>
      <c r="AC4" s="112" t="s">
        <v>345</v>
      </c>
      <c r="AD4" s="112" t="s">
        <v>373</v>
      </c>
      <c r="AE4" s="112" t="s">
        <v>378</v>
      </c>
      <c r="AF4" s="112" t="s">
        <v>399</v>
      </c>
    </row>
    <row r="5" spans="1:32" s="16" customFormat="1" ht="21" customHeight="1" thickTop="1" x14ac:dyDescent="0.25">
      <c r="A5" s="122" t="s">
        <v>129</v>
      </c>
      <c r="B5" s="123"/>
      <c r="C5" s="363"/>
      <c r="D5" s="124"/>
      <c r="E5" s="363"/>
      <c r="F5" s="123"/>
      <c r="G5" s="363"/>
      <c r="H5" s="123"/>
      <c r="I5" s="123"/>
      <c r="J5" s="363"/>
      <c r="K5" s="124"/>
      <c r="L5" s="363"/>
      <c r="M5" s="123"/>
      <c r="N5" s="363"/>
      <c r="O5" s="123"/>
      <c r="P5" s="363"/>
      <c r="Q5" s="123"/>
      <c r="R5" s="363"/>
      <c r="S5" s="123"/>
      <c r="T5" s="363"/>
      <c r="U5" s="123"/>
      <c r="V5" s="363"/>
      <c r="W5" s="125"/>
      <c r="X5" s="125"/>
      <c r="Y5" s="126"/>
      <c r="Z5" s="126"/>
      <c r="AA5" s="127"/>
      <c r="AB5" s="112"/>
      <c r="AC5" s="112"/>
      <c r="AD5" s="112"/>
      <c r="AE5" s="112"/>
      <c r="AF5" s="112"/>
    </row>
    <row r="6" spans="1:32" ht="14.2" customHeight="1" x14ac:dyDescent="0.25">
      <c r="A6" s="128" t="s">
        <v>593</v>
      </c>
      <c r="B6" s="129">
        <v>0.05</v>
      </c>
      <c r="C6" s="364">
        <v>10</v>
      </c>
      <c r="D6" s="130">
        <v>5.8799999999999998E-3</v>
      </c>
      <c r="E6" s="382">
        <v>11</v>
      </c>
      <c r="F6" s="131">
        <v>12.3</v>
      </c>
      <c r="G6" s="382">
        <v>11</v>
      </c>
      <c r="H6" s="132">
        <v>100</v>
      </c>
      <c r="I6" s="129">
        <f t="shared" ref="I6:I19" si="0">H6/B6/1000</f>
        <v>2</v>
      </c>
      <c r="J6" s="364">
        <v>90</v>
      </c>
      <c r="K6" s="130">
        <f t="shared" ref="K6:K32" si="1">D6*H6/1000</f>
        <v>5.8799999999999998E-4</v>
      </c>
      <c r="L6" s="382">
        <v>90</v>
      </c>
      <c r="M6" s="133">
        <f t="shared" ref="M6:M23" si="2">F6*H6/1000</f>
        <v>1.23</v>
      </c>
      <c r="N6" s="383">
        <v>90</v>
      </c>
      <c r="O6" s="134">
        <v>8.4</v>
      </c>
      <c r="P6" s="428">
        <v>62</v>
      </c>
      <c r="Q6" s="135">
        <f t="shared" ref="Q6:Q13" si="3">O6/S6</f>
        <v>0.84000000000000008</v>
      </c>
      <c r="R6" s="428">
        <v>90</v>
      </c>
      <c r="S6" s="135">
        <v>10</v>
      </c>
      <c r="T6" s="428">
        <v>11</v>
      </c>
      <c r="U6" s="135">
        <f t="shared" ref="U6:U28" si="4">((B6/O6)/($B$194/$O$194))*0.2</f>
        <v>1.4880952380952381</v>
      </c>
      <c r="V6" s="428">
        <v>90</v>
      </c>
      <c r="W6" s="136">
        <f t="shared" ref="W6:W43" si="5">SQRT(B6*O6*1000)</f>
        <v>20.493901531919199</v>
      </c>
      <c r="X6" s="137">
        <f>B6/O6*10000</f>
        <v>59.523809523809518</v>
      </c>
      <c r="Y6" s="138">
        <f t="shared" ref="Y6:Y43" si="6">K6/(H6/1000)*((2*10^-7*(20+273)^0.81/101325)*10^12)</f>
        <v>1.1557222697060039</v>
      </c>
      <c r="Z6" s="138">
        <f t="shared" ref="Z6:Z43" si="7">Y6*(H6/1000)</f>
        <v>0.11557222697060039</v>
      </c>
      <c r="AA6" s="139"/>
      <c r="AB6" s="140" t="str">
        <f t="shared" ref="AB6:AB29" si="8">VLOOKUP(C6,$B$399:$C$431,2,FALSE)</f>
        <v>H28年建築物省エネルギー法</v>
      </c>
      <c r="AC6" s="103" t="s">
        <v>346</v>
      </c>
      <c r="AD6" s="140" t="str">
        <f t="shared" ref="AD6:AD28" si="9">VLOOKUP(P6,$B$399:$C$431,2,FALSE)</f>
        <v>SolarDesigner6マニュアル</v>
      </c>
      <c r="AE6" s="103" t="s">
        <v>394</v>
      </c>
      <c r="AF6" s="103" t="s">
        <v>400</v>
      </c>
    </row>
    <row r="7" spans="1:32" ht="14.2" customHeight="1" x14ac:dyDescent="0.25">
      <c r="A7" s="128" t="s">
        <v>594</v>
      </c>
      <c r="B7" s="129">
        <v>4.4999999999999998E-2</v>
      </c>
      <c r="C7" s="364">
        <v>10</v>
      </c>
      <c r="D7" s="130">
        <v>5.8799999999999998E-3</v>
      </c>
      <c r="E7" s="382">
        <v>11</v>
      </c>
      <c r="F7" s="131">
        <v>12.3</v>
      </c>
      <c r="G7" s="382">
        <v>11</v>
      </c>
      <c r="H7" s="132">
        <v>100</v>
      </c>
      <c r="I7" s="129">
        <f t="shared" si="0"/>
        <v>2.2222222222222223</v>
      </c>
      <c r="J7" s="364">
        <v>90</v>
      </c>
      <c r="K7" s="130">
        <f t="shared" si="1"/>
        <v>5.8799999999999998E-4</v>
      </c>
      <c r="L7" s="382">
        <v>90</v>
      </c>
      <c r="M7" s="133">
        <f t="shared" si="2"/>
        <v>1.23</v>
      </c>
      <c r="N7" s="383">
        <v>90</v>
      </c>
      <c r="O7" s="134">
        <v>13.44</v>
      </c>
      <c r="P7" s="428">
        <v>62</v>
      </c>
      <c r="Q7" s="135">
        <f t="shared" si="3"/>
        <v>0.84</v>
      </c>
      <c r="R7" s="428">
        <v>90</v>
      </c>
      <c r="S7" s="135">
        <v>16</v>
      </c>
      <c r="T7" s="428">
        <v>11</v>
      </c>
      <c r="U7" s="135">
        <f t="shared" si="4"/>
        <v>0.8370535714285714</v>
      </c>
      <c r="V7" s="428">
        <v>90</v>
      </c>
      <c r="W7" s="136">
        <f t="shared" si="5"/>
        <v>24.592681838303037</v>
      </c>
      <c r="X7" s="137">
        <f t="shared" ref="X7:X85" si="10">B7/O7*10000</f>
        <v>33.482142857142854</v>
      </c>
      <c r="Y7" s="138">
        <f t="shared" si="6"/>
        <v>1.1557222697060039</v>
      </c>
      <c r="Z7" s="138">
        <f t="shared" si="7"/>
        <v>0.11557222697060039</v>
      </c>
      <c r="AA7" s="141"/>
      <c r="AB7" s="140" t="str">
        <f t="shared" si="8"/>
        <v>H28年建築物省エネルギー法</v>
      </c>
      <c r="AC7" s="103" t="s">
        <v>346</v>
      </c>
      <c r="AD7" s="140" t="str">
        <f t="shared" si="9"/>
        <v>SolarDesigner6マニュアル</v>
      </c>
      <c r="AE7" s="103" t="s">
        <v>394</v>
      </c>
      <c r="AF7" s="103" t="s">
        <v>400</v>
      </c>
    </row>
    <row r="8" spans="1:32" ht="14.2" customHeight="1" x14ac:dyDescent="0.25">
      <c r="A8" s="128" t="s">
        <v>595</v>
      </c>
      <c r="B8" s="129">
        <v>4.2000000000000003E-2</v>
      </c>
      <c r="C8" s="364">
        <v>10</v>
      </c>
      <c r="D8" s="130">
        <v>5.8799999999999998E-3</v>
      </c>
      <c r="E8" s="382">
        <v>11</v>
      </c>
      <c r="F8" s="131">
        <v>12.3</v>
      </c>
      <c r="G8" s="382">
        <v>11</v>
      </c>
      <c r="H8" s="132">
        <v>100</v>
      </c>
      <c r="I8" s="129">
        <f t="shared" si="0"/>
        <v>2.3809523809523809</v>
      </c>
      <c r="J8" s="364">
        <v>90</v>
      </c>
      <c r="K8" s="130">
        <f t="shared" si="1"/>
        <v>5.8799999999999998E-4</v>
      </c>
      <c r="L8" s="382">
        <v>90</v>
      </c>
      <c r="M8" s="133">
        <f t="shared" si="2"/>
        <v>1.23</v>
      </c>
      <c r="N8" s="383">
        <v>90</v>
      </c>
      <c r="O8" s="134">
        <v>16.8</v>
      </c>
      <c r="P8" s="428">
        <v>62</v>
      </c>
      <c r="Q8" s="135">
        <f t="shared" si="3"/>
        <v>0.84000000000000008</v>
      </c>
      <c r="R8" s="428">
        <v>90</v>
      </c>
      <c r="S8" s="135">
        <v>20</v>
      </c>
      <c r="T8" s="428">
        <v>11</v>
      </c>
      <c r="U8" s="135">
        <f t="shared" si="4"/>
        <v>0.625</v>
      </c>
      <c r="V8" s="428">
        <v>90</v>
      </c>
      <c r="W8" s="136">
        <f t="shared" si="5"/>
        <v>26.563132345414388</v>
      </c>
      <c r="X8" s="137">
        <f t="shared" si="10"/>
        <v>25</v>
      </c>
      <c r="Y8" s="138">
        <f t="shared" si="6"/>
        <v>1.1557222697060039</v>
      </c>
      <c r="Z8" s="138">
        <f t="shared" si="7"/>
        <v>0.11557222697060039</v>
      </c>
      <c r="AA8" s="141"/>
      <c r="AB8" s="140" t="str">
        <f t="shared" si="8"/>
        <v>H28年建築物省エネルギー法</v>
      </c>
      <c r="AC8" s="103" t="s">
        <v>346</v>
      </c>
      <c r="AD8" s="140" t="str">
        <f t="shared" si="9"/>
        <v>SolarDesigner6マニュアル</v>
      </c>
      <c r="AE8" s="103" t="s">
        <v>394</v>
      </c>
      <c r="AF8" s="103" t="s">
        <v>400</v>
      </c>
    </row>
    <row r="9" spans="1:32" ht="14.2" customHeight="1" x14ac:dyDescent="0.25">
      <c r="A9" s="128" t="s">
        <v>596</v>
      </c>
      <c r="B9" s="129">
        <v>3.7999999999999999E-2</v>
      </c>
      <c r="C9" s="364">
        <v>10</v>
      </c>
      <c r="D9" s="130">
        <v>5.8799999999999998E-3</v>
      </c>
      <c r="E9" s="382">
        <v>11</v>
      </c>
      <c r="F9" s="131">
        <v>12.3</v>
      </c>
      <c r="G9" s="382">
        <v>11</v>
      </c>
      <c r="H9" s="132">
        <v>100</v>
      </c>
      <c r="I9" s="129">
        <f t="shared" si="0"/>
        <v>2.6315789473684212</v>
      </c>
      <c r="J9" s="364">
        <v>90</v>
      </c>
      <c r="K9" s="130">
        <f t="shared" si="1"/>
        <v>5.8799999999999998E-4</v>
      </c>
      <c r="L9" s="382">
        <v>90</v>
      </c>
      <c r="M9" s="133">
        <f t="shared" si="2"/>
        <v>1.23</v>
      </c>
      <c r="N9" s="383">
        <v>90</v>
      </c>
      <c r="O9" s="134">
        <v>20.16</v>
      </c>
      <c r="P9" s="428">
        <v>62</v>
      </c>
      <c r="Q9" s="135">
        <f t="shared" si="3"/>
        <v>0.84</v>
      </c>
      <c r="R9" s="428">
        <v>90</v>
      </c>
      <c r="S9" s="135">
        <v>24</v>
      </c>
      <c r="T9" s="428">
        <v>11</v>
      </c>
      <c r="U9" s="135">
        <f t="shared" si="4"/>
        <v>0.47123015873015872</v>
      </c>
      <c r="V9" s="428">
        <v>90</v>
      </c>
      <c r="W9" s="136">
        <f t="shared" si="5"/>
        <v>27.678150227209908</v>
      </c>
      <c r="X9" s="137">
        <f t="shared" si="10"/>
        <v>18.849206349206348</v>
      </c>
      <c r="Y9" s="138">
        <f t="shared" si="6"/>
        <v>1.1557222697060039</v>
      </c>
      <c r="Z9" s="138">
        <f t="shared" si="7"/>
        <v>0.11557222697060039</v>
      </c>
      <c r="AA9" s="139"/>
      <c r="AB9" s="140" t="str">
        <f t="shared" si="8"/>
        <v>H28年建築物省エネルギー法</v>
      </c>
      <c r="AC9" s="103" t="s">
        <v>346</v>
      </c>
      <c r="AD9" s="140" t="str">
        <f t="shared" si="9"/>
        <v>SolarDesigner6マニュアル</v>
      </c>
      <c r="AE9" s="103" t="s">
        <v>394</v>
      </c>
      <c r="AF9" s="103" t="s">
        <v>400</v>
      </c>
    </row>
    <row r="10" spans="1:32" ht="14.2" customHeight="1" x14ac:dyDescent="0.25">
      <c r="A10" s="128" t="s">
        <v>597</v>
      </c>
      <c r="B10" s="129">
        <v>3.5999999999999997E-2</v>
      </c>
      <c r="C10" s="364">
        <v>10</v>
      </c>
      <c r="D10" s="130">
        <v>5.8799999999999998E-3</v>
      </c>
      <c r="E10" s="382">
        <v>11</v>
      </c>
      <c r="F10" s="131">
        <v>12.3</v>
      </c>
      <c r="G10" s="382">
        <v>11</v>
      </c>
      <c r="H10" s="132">
        <v>100</v>
      </c>
      <c r="I10" s="129">
        <f t="shared" si="0"/>
        <v>2.7777777777777777</v>
      </c>
      <c r="J10" s="364">
        <v>90</v>
      </c>
      <c r="K10" s="130">
        <f t="shared" si="1"/>
        <v>5.8799999999999998E-4</v>
      </c>
      <c r="L10" s="382">
        <v>90</v>
      </c>
      <c r="M10" s="133">
        <f t="shared" si="2"/>
        <v>1.23</v>
      </c>
      <c r="N10" s="383">
        <v>90</v>
      </c>
      <c r="O10" s="134">
        <v>26.88</v>
      </c>
      <c r="P10" s="428">
        <v>62</v>
      </c>
      <c r="Q10" s="135">
        <f t="shared" si="3"/>
        <v>0.84</v>
      </c>
      <c r="R10" s="428">
        <v>90</v>
      </c>
      <c r="S10" s="135">
        <v>32</v>
      </c>
      <c r="T10" s="428">
        <v>11</v>
      </c>
      <c r="U10" s="135">
        <f t="shared" si="4"/>
        <v>0.3348214285714286</v>
      </c>
      <c r="V10" s="428">
        <v>90</v>
      </c>
      <c r="W10" s="136">
        <f t="shared" si="5"/>
        <v>31.107555352357725</v>
      </c>
      <c r="X10" s="137">
        <f t="shared" si="10"/>
        <v>13.392857142857142</v>
      </c>
      <c r="Y10" s="138">
        <f t="shared" si="6"/>
        <v>1.1557222697060039</v>
      </c>
      <c r="Z10" s="138">
        <f t="shared" si="7"/>
        <v>0.11557222697060039</v>
      </c>
      <c r="AA10" s="139"/>
      <c r="AB10" s="140" t="str">
        <f t="shared" si="8"/>
        <v>H28年建築物省エネルギー法</v>
      </c>
      <c r="AC10" s="103" t="s">
        <v>346</v>
      </c>
      <c r="AD10" s="140" t="str">
        <f t="shared" si="9"/>
        <v>SolarDesigner6マニュアル</v>
      </c>
      <c r="AE10" s="103" t="s">
        <v>394</v>
      </c>
      <c r="AF10" s="103" t="s">
        <v>400</v>
      </c>
    </row>
    <row r="11" spans="1:32" ht="14.2" customHeight="1" x14ac:dyDescent="0.25">
      <c r="A11" s="128" t="s">
        <v>598</v>
      </c>
      <c r="B11" s="129">
        <v>3.7999999999999999E-2</v>
      </c>
      <c r="C11" s="364">
        <v>10</v>
      </c>
      <c r="D11" s="130">
        <v>5.8799999999999998E-3</v>
      </c>
      <c r="E11" s="382">
        <v>11</v>
      </c>
      <c r="F11" s="131">
        <v>12.3</v>
      </c>
      <c r="G11" s="382">
        <v>11</v>
      </c>
      <c r="H11" s="132">
        <v>100</v>
      </c>
      <c r="I11" s="129">
        <f t="shared" si="0"/>
        <v>2.6315789473684212</v>
      </c>
      <c r="J11" s="364">
        <v>90</v>
      </c>
      <c r="K11" s="130">
        <f t="shared" si="1"/>
        <v>5.8799999999999998E-4</v>
      </c>
      <c r="L11" s="382">
        <v>90</v>
      </c>
      <c r="M11" s="133">
        <f t="shared" si="2"/>
        <v>1.23</v>
      </c>
      <c r="N11" s="383">
        <v>90</v>
      </c>
      <c r="O11" s="134">
        <v>13.44</v>
      </c>
      <c r="P11" s="428">
        <v>62</v>
      </c>
      <c r="Q11" s="135">
        <f t="shared" si="3"/>
        <v>0.84</v>
      </c>
      <c r="R11" s="428">
        <v>90</v>
      </c>
      <c r="S11" s="135">
        <v>16</v>
      </c>
      <c r="T11" s="428">
        <v>11</v>
      </c>
      <c r="U11" s="135">
        <f t="shared" si="4"/>
        <v>0.70684523809523814</v>
      </c>
      <c r="V11" s="428">
        <v>90</v>
      </c>
      <c r="W11" s="136">
        <f t="shared" si="5"/>
        <v>22.599115026920856</v>
      </c>
      <c r="X11" s="137">
        <f>B11/O11*10000</f>
        <v>28.273809523809522</v>
      </c>
      <c r="Y11" s="138">
        <f t="shared" si="6"/>
        <v>1.1557222697060039</v>
      </c>
      <c r="Z11" s="138">
        <f t="shared" si="7"/>
        <v>0.11557222697060039</v>
      </c>
      <c r="AA11" s="139"/>
      <c r="AB11" s="140" t="str">
        <f t="shared" si="8"/>
        <v>H28年建築物省エネルギー法</v>
      </c>
      <c r="AC11" s="103" t="s">
        <v>346</v>
      </c>
      <c r="AD11" s="140" t="str">
        <f t="shared" si="9"/>
        <v>SolarDesigner6マニュアル</v>
      </c>
      <c r="AE11" s="103" t="s">
        <v>394</v>
      </c>
      <c r="AF11" s="103" t="s">
        <v>400</v>
      </c>
    </row>
    <row r="12" spans="1:32" ht="14.2" customHeight="1" x14ac:dyDescent="0.25">
      <c r="A12" s="128" t="s">
        <v>599</v>
      </c>
      <c r="B12" s="129">
        <v>3.5999999999999997E-2</v>
      </c>
      <c r="C12" s="364">
        <v>10</v>
      </c>
      <c r="D12" s="130">
        <v>5.8799999999999998E-3</v>
      </c>
      <c r="E12" s="382">
        <v>11</v>
      </c>
      <c r="F12" s="131">
        <v>12.3</v>
      </c>
      <c r="G12" s="382">
        <v>11</v>
      </c>
      <c r="H12" s="132">
        <v>100</v>
      </c>
      <c r="I12" s="129">
        <f t="shared" si="0"/>
        <v>2.7777777777777777</v>
      </c>
      <c r="J12" s="364">
        <v>90</v>
      </c>
      <c r="K12" s="130">
        <f t="shared" si="1"/>
        <v>5.8799999999999998E-4</v>
      </c>
      <c r="L12" s="382">
        <v>90</v>
      </c>
      <c r="M12" s="133">
        <f t="shared" si="2"/>
        <v>1.23</v>
      </c>
      <c r="N12" s="383">
        <v>90</v>
      </c>
      <c r="O12" s="134">
        <v>20.16</v>
      </c>
      <c r="P12" s="428">
        <v>62</v>
      </c>
      <c r="Q12" s="135">
        <f t="shared" si="3"/>
        <v>0.84</v>
      </c>
      <c r="R12" s="428">
        <v>90</v>
      </c>
      <c r="S12" s="135">
        <v>24</v>
      </c>
      <c r="T12" s="428">
        <v>11</v>
      </c>
      <c r="U12" s="135">
        <f t="shared" si="4"/>
        <v>0.4464285714285714</v>
      </c>
      <c r="V12" s="428">
        <v>90</v>
      </c>
      <c r="W12" s="136">
        <f t="shared" si="5"/>
        <v>26.939933184772379</v>
      </c>
      <c r="X12" s="137">
        <f t="shared" si="10"/>
        <v>17.857142857142858</v>
      </c>
      <c r="Y12" s="138">
        <f t="shared" si="6"/>
        <v>1.1557222697060039</v>
      </c>
      <c r="Z12" s="138">
        <f t="shared" si="7"/>
        <v>0.11557222697060039</v>
      </c>
      <c r="AA12" s="139"/>
      <c r="AB12" s="140" t="str">
        <f t="shared" si="8"/>
        <v>H28年建築物省エネルギー法</v>
      </c>
      <c r="AC12" s="103" t="s">
        <v>346</v>
      </c>
      <c r="AD12" s="140" t="str">
        <f t="shared" si="9"/>
        <v>SolarDesigner6マニュアル</v>
      </c>
      <c r="AE12" s="103" t="s">
        <v>394</v>
      </c>
      <c r="AF12" s="103" t="s">
        <v>400</v>
      </c>
    </row>
    <row r="13" spans="1:32" ht="14.2" customHeight="1" x14ac:dyDescent="0.25">
      <c r="A13" s="128" t="s">
        <v>600</v>
      </c>
      <c r="B13" s="129">
        <v>3.5000000000000003E-2</v>
      </c>
      <c r="C13" s="364">
        <v>10</v>
      </c>
      <c r="D13" s="130">
        <v>5.8799999999999998E-3</v>
      </c>
      <c r="E13" s="382">
        <v>11</v>
      </c>
      <c r="F13" s="131">
        <v>12.3</v>
      </c>
      <c r="G13" s="382">
        <v>11</v>
      </c>
      <c r="H13" s="132">
        <v>100</v>
      </c>
      <c r="I13" s="129">
        <f t="shared" si="0"/>
        <v>2.8571428571428568</v>
      </c>
      <c r="J13" s="364">
        <v>90</v>
      </c>
      <c r="K13" s="130">
        <f t="shared" si="1"/>
        <v>5.8799999999999998E-4</v>
      </c>
      <c r="L13" s="382">
        <v>90</v>
      </c>
      <c r="M13" s="133">
        <f t="shared" si="2"/>
        <v>1.23</v>
      </c>
      <c r="N13" s="383">
        <v>90</v>
      </c>
      <c r="O13" s="134">
        <v>26.88</v>
      </c>
      <c r="P13" s="428">
        <v>62</v>
      </c>
      <c r="Q13" s="135">
        <f t="shared" si="3"/>
        <v>0.84</v>
      </c>
      <c r="R13" s="428">
        <v>90</v>
      </c>
      <c r="S13" s="135">
        <v>32</v>
      </c>
      <c r="T13" s="428">
        <v>11</v>
      </c>
      <c r="U13" s="135">
        <f t="shared" si="4"/>
        <v>0.32552083333333337</v>
      </c>
      <c r="V13" s="428">
        <v>90</v>
      </c>
      <c r="W13" s="136">
        <f t="shared" si="5"/>
        <v>30.672463220289302</v>
      </c>
      <c r="X13" s="137">
        <f t="shared" si="10"/>
        <v>13.020833333333334</v>
      </c>
      <c r="Y13" s="138">
        <f t="shared" si="6"/>
        <v>1.1557222697060039</v>
      </c>
      <c r="Z13" s="138">
        <f t="shared" si="7"/>
        <v>0.11557222697060039</v>
      </c>
      <c r="AA13" s="139"/>
      <c r="AB13" s="140" t="str">
        <f t="shared" si="8"/>
        <v>H28年建築物省エネルギー法</v>
      </c>
      <c r="AC13" s="103" t="s">
        <v>346</v>
      </c>
      <c r="AD13" s="140" t="str">
        <f t="shared" si="9"/>
        <v>SolarDesigner6マニュアル</v>
      </c>
      <c r="AE13" s="103" t="s">
        <v>394</v>
      </c>
      <c r="AF13" s="103" t="s">
        <v>400</v>
      </c>
    </row>
    <row r="14" spans="1:32" ht="14.2" customHeight="1" x14ac:dyDescent="0.25">
      <c r="A14" s="128" t="s">
        <v>601</v>
      </c>
      <c r="B14" s="129">
        <v>3.4000000000000002E-2</v>
      </c>
      <c r="C14" s="364">
        <v>10</v>
      </c>
      <c r="D14" s="130">
        <v>5.8799999999999998E-3</v>
      </c>
      <c r="E14" s="382">
        <v>11</v>
      </c>
      <c r="F14" s="131">
        <v>12.3</v>
      </c>
      <c r="G14" s="382">
        <v>11</v>
      </c>
      <c r="H14" s="132">
        <v>100</v>
      </c>
      <c r="I14" s="129">
        <f t="shared" si="0"/>
        <v>2.9411764705882351</v>
      </c>
      <c r="J14" s="364">
        <v>90</v>
      </c>
      <c r="K14" s="130">
        <f t="shared" si="1"/>
        <v>5.8799999999999998E-4</v>
      </c>
      <c r="L14" s="382">
        <v>90</v>
      </c>
      <c r="M14" s="133">
        <f t="shared" si="2"/>
        <v>1.23</v>
      </c>
      <c r="N14" s="383">
        <v>90</v>
      </c>
      <c r="O14" s="134">
        <f>Q14*S14</f>
        <v>33.6</v>
      </c>
      <c r="P14" s="428">
        <v>99</v>
      </c>
      <c r="Q14" s="135">
        <v>0.84</v>
      </c>
      <c r="R14" s="428">
        <v>99</v>
      </c>
      <c r="S14" s="135">
        <v>40</v>
      </c>
      <c r="T14" s="428">
        <v>11</v>
      </c>
      <c r="U14" s="135">
        <f t="shared" si="4"/>
        <v>0.25297619047619052</v>
      </c>
      <c r="V14" s="428">
        <v>90</v>
      </c>
      <c r="W14" s="136">
        <f t="shared" si="5"/>
        <v>33.799408278844176</v>
      </c>
      <c r="X14" s="137">
        <f t="shared" si="10"/>
        <v>10.11904761904762</v>
      </c>
      <c r="Y14" s="138">
        <f t="shared" si="6"/>
        <v>1.1557222697060039</v>
      </c>
      <c r="Z14" s="138">
        <f t="shared" si="7"/>
        <v>0.11557222697060039</v>
      </c>
      <c r="AA14" s="139"/>
      <c r="AB14" s="140" t="str">
        <f t="shared" si="8"/>
        <v>H28年建築物省エネルギー法</v>
      </c>
      <c r="AC14" s="103" t="s">
        <v>346</v>
      </c>
      <c r="AD14" s="140" t="str">
        <f t="shared" si="9"/>
        <v>推測値</v>
      </c>
      <c r="AE14" s="103" t="s">
        <v>394</v>
      </c>
      <c r="AF14" s="103" t="s">
        <v>400</v>
      </c>
    </row>
    <row r="15" spans="1:32" ht="14.2" customHeight="1" x14ac:dyDescent="0.25">
      <c r="A15" s="128" t="s">
        <v>602</v>
      </c>
      <c r="B15" s="129">
        <v>3.3000000000000002E-2</v>
      </c>
      <c r="C15" s="364">
        <v>10</v>
      </c>
      <c r="D15" s="130">
        <v>5.8799999999999998E-3</v>
      </c>
      <c r="E15" s="382">
        <v>11</v>
      </c>
      <c r="F15" s="131">
        <v>12.3</v>
      </c>
      <c r="G15" s="382">
        <v>11</v>
      </c>
      <c r="H15" s="132">
        <v>100</v>
      </c>
      <c r="I15" s="129">
        <f t="shared" si="0"/>
        <v>3.0303030303030298</v>
      </c>
      <c r="J15" s="364">
        <v>90</v>
      </c>
      <c r="K15" s="130">
        <f t="shared" si="1"/>
        <v>5.8799999999999998E-4</v>
      </c>
      <c r="L15" s="382">
        <v>90</v>
      </c>
      <c r="M15" s="133">
        <f t="shared" si="2"/>
        <v>1.23</v>
      </c>
      <c r="N15" s="383">
        <v>90</v>
      </c>
      <c r="O15" s="134">
        <f>Q15*S15</f>
        <v>40.32</v>
      </c>
      <c r="P15" s="428">
        <v>99</v>
      </c>
      <c r="Q15" s="135">
        <v>0.84</v>
      </c>
      <c r="R15" s="428">
        <v>99</v>
      </c>
      <c r="S15" s="135">
        <v>48</v>
      </c>
      <c r="T15" s="428">
        <v>11</v>
      </c>
      <c r="U15" s="135">
        <f t="shared" si="4"/>
        <v>0.20461309523809526</v>
      </c>
      <c r="V15" s="428">
        <v>90</v>
      </c>
      <c r="W15" s="136">
        <f t="shared" si="5"/>
        <v>36.476841968569595</v>
      </c>
      <c r="X15" s="137">
        <f t="shared" si="10"/>
        <v>8.1845238095238102</v>
      </c>
      <c r="Y15" s="138">
        <f t="shared" si="6"/>
        <v>1.1557222697060039</v>
      </c>
      <c r="Z15" s="138">
        <f t="shared" si="7"/>
        <v>0.11557222697060039</v>
      </c>
      <c r="AA15" s="139"/>
      <c r="AB15" s="140" t="str">
        <f t="shared" si="8"/>
        <v>H28年建築物省エネルギー法</v>
      </c>
      <c r="AC15" s="103" t="s">
        <v>346</v>
      </c>
      <c r="AD15" s="140" t="str">
        <f t="shared" si="9"/>
        <v>推測値</v>
      </c>
      <c r="AE15" s="103" t="s">
        <v>394</v>
      </c>
      <c r="AF15" s="103" t="s">
        <v>400</v>
      </c>
    </row>
    <row r="16" spans="1:32" ht="14.2" customHeight="1" x14ac:dyDescent="0.25">
      <c r="A16" s="128" t="s">
        <v>603</v>
      </c>
      <c r="B16" s="129">
        <v>5.1999999999999998E-2</v>
      </c>
      <c r="C16" s="364">
        <v>10</v>
      </c>
      <c r="D16" s="130">
        <v>5.8799999999999998E-3</v>
      </c>
      <c r="E16" s="382">
        <v>11</v>
      </c>
      <c r="F16" s="131">
        <v>12.3</v>
      </c>
      <c r="G16" s="382">
        <v>11</v>
      </c>
      <c r="H16" s="132">
        <v>100</v>
      </c>
      <c r="I16" s="129">
        <f t="shared" si="0"/>
        <v>1.9230769230769231</v>
      </c>
      <c r="J16" s="364">
        <v>90</v>
      </c>
      <c r="K16" s="130">
        <f t="shared" si="1"/>
        <v>5.8799999999999998E-4</v>
      </c>
      <c r="L16" s="382">
        <v>90</v>
      </c>
      <c r="M16" s="133">
        <f t="shared" si="2"/>
        <v>1.23</v>
      </c>
      <c r="N16" s="383">
        <v>90</v>
      </c>
      <c r="O16" s="134">
        <v>10.884</v>
      </c>
      <c r="P16" s="428">
        <v>61</v>
      </c>
      <c r="Q16" s="135">
        <f t="shared" ref="Q16:Q23" si="11">O16/S16</f>
        <v>0.83723076923076922</v>
      </c>
      <c r="R16" s="428">
        <v>90</v>
      </c>
      <c r="S16" s="135">
        <v>13</v>
      </c>
      <c r="T16" s="428">
        <v>11</v>
      </c>
      <c r="U16" s="135">
        <f t="shared" si="4"/>
        <v>1.1944138184490996</v>
      </c>
      <c r="V16" s="428">
        <v>90</v>
      </c>
      <c r="W16" s="136">
        <f t="shared" si="5"/>
        <v>23.790081967071909</v>
      </c>
      <c r="X16" s="137">
        <f t="shared" si="10"/>
        <v>47.776552737963982</v>
      </c>
      <c r="Y16" s="138">
        <f t="shared" si="6"/>
        <v>1.1557222697060039</v>
      </c>
      <c r="Z16" s="138">
        <f t="shared" si="7"/>
        <v>0.11557222697060039</v>
      </c>
      <c r="AA16" s="139"/>
      <c r="AB16" s="140" t="str">
        <f t="shared" si="8"/>
        <v>H28年建築物省エネルギー法</v>
      </c>
      <c r="AC16" s="103" t="s">
        <v>346</v>
      </c>
      <c r="AD16" s="140" t="str">
        <f t="shared" si="9"/>
        <v>smash マニュアル</v>
      </c>
      <c r="AE16" s="103" t="s">
        <v>395</v>
      </c>
      <c r="AF16" s="103" t="s">
        <v>400</v>
      </c>
    </row>
    <row r="17" spans="1:32" ht="14.2" customHeight="1" x14ac:dyDescent="0.25">
      <c r="A17" s="128" t="s">
        <v>604</v>
      </c>
      <c r="B17" s="129">
        <v>5.1999999999999998E-2</v>
      </c>
      <c r="C17" s="364">
        <v>10</v>
      </c>
      <c r="D17" s="130">
        <v>5.8799999999999998E-3</v>
      </c>
      <c r="E17" s="382">
        <v>11</v>
      </c>
      <c r="F17" s="131">
        <v>12.3</v>
      </c>
      <c r="G17" s="382">
        <v>11</v>
      </c>
      <c r="H17" s="132">
        <v>100</v>
      </c>
      <c r="I17" s="129">
        <f t="shared" si="0"/>
        <v>1.9230769230769231</v>
      </c>
      <c r="J17" s="364">
        <v>90</v>
      </c>
      <c r="K17" s="130">
        <f t="shared" si="1"/>
        <v>5.8799999999999998E-4</v>
      </c>
      <c r="L17" s="382">
        <v>90</v>
      </c>
      <c r="M17" s="133">
        <f t="shared" si="2"/>
        <v>1.23</v>
      </c>
      <c r="N17" s="383">
        <v>90</v>
      </c>
      <c r="O17" s="134">
        <v>16.744</v>
      </c>
      <c r="P17" s="428">
        <v>61</v>
      </c>
      <c r="Q17" s="135">
        <f t="shared" si="11"/>
        <v>0.83719999999999994</v>
      </c>
      <c r="R17" s="428">
        <v>90</v>
      </c>
      <c r="S17" s="135">
        <v>20</v>
      </c>
      <c r="T17" s="428">
        <v>11</v>
      </c>
      <c r="U17" s="135">
        <f t="shared" si="4"/>
        <v>0.77639751552795033</v>
      </c>
      <c r="V17" s="428">
        <v>90</v>
      </c>
      <c r="W17" s="136">
        <f t="shared" si="5"/>
        <v>29.507422794951101</v>
      </c>
      <c r="X17" s="137">
        <f t="shared" si="10"/>
        <v>31.05590062111801</v>
      </c>
      <c r="Y17" s="138">
        <f t="shared" si="6"/>
        <v>1.1557222697060039</v>
      </c>
      <c r="Z17" s="138">
        <f t="shared" si="7"/>
        <v>0.11557222697060039</v>
      </c>
      <c r="AA17" s="139"/>
      <c r="AB17" s="140" t="str">
        <f t="shared" si="8"/>
        <v>H28年建築物省エネルギー法</v>
      </c>
      <c r="AC17" s="103" t="s">
        <v>346</v>
      </c>
      <c r="AD17" s="140" t="str">
        <f t="shared" si="9"/>
        <v>smash マニュアル</v>
      </c>
      <c r="AE17" s="103" t="s">
        <v>395</v>
      </c>
      <c r="AF17" s="103" t="s">
        <v>400</v>
      </c>
    </row>
    <row r="18" spans="1:32" ht="14.2" customHeight="1" x14ac:dyDescent="0.25">
      <c r="A18" s="128" t="s">
        <v>605</v>
      </c>
      <c r="B18" s="129">
        <v>0.04</v>
      </c>
      <c r="C18" s="364">
        <v>10</v>
      </c>
      <c r="D18" s="130">
        <v>5.8799999999999998E-3</v>
      </c>
      <c r="E18" s="382">
        <v>11</v>
      </c>
      <c r="F18" s="131">
        <v>12.3</v>
      </c>
      <c r="G18" s="382">
        <v>11</v>
      </c>
      <c r="H18" s="132">
        <v>100</v>
      </c>
      <c r="I18" s="129">
        <f t="shared" si="0"/>
        <v>2.5</v>
      </c>
      <c r="J18" s="364">
        <v>90</v>
      </c>
      <c r="K18" s="130">
        <f t="shared" si="1"/>
        <v>5.8799999999999998E-4</v>
      </c>
      <c r="L18" s="382">
        <v>90</v>
      </c>
      <c r="M18" s="133">
        <f t="shared" si="2"/>
        <v>1.23</v>
      </c>
      <c r="N18" s="383">
        <v>90</v>
      </c>
      <c r="O18" s="134">
        <v>29.302</v>
      </c>
      <c r="P18" s="428">
        <v>61</v>
      </c>
      <c r="Q18" s="135">
        <f t="shared" si="11"/>
        <v>0.97673333333333334</v>
      </c>
      <c r="R18" s="428">
        <v>90</v>
      </c>
      <c r="S18" s="135">
        <v>30</v>
      </c>
      <c r="T18" s="428">
        <v>11</v>
      </c>
      <c r="U18" s="135">
        <f t="shared" si="4"/>
        <v>0.34127363319909909</v>
      </c>
      <c r="V18" s="428">
        <v>90</v>
      </c>
      <c r="W18" s="136">
        <f t="shared" si="5"/>
        <v>34.235653929784952</v>
      </c>
      <c r="X18" s="137">
        <f t="shared" si="10"/>
        <v>13.650945327963962</v>
      </c>
      <c r="Y18" s="138">
        <f t="shared" si="6"/>
        <v>1.1557222697060039</v>
      </c>
      <c r="Z18" s="138">
        <f t="shared" si="7"/>
        <v>0.11557222697060039</v>
      </c>
      <c r="AA18" s="139"/>
      <c r="AB18" s="140" t="str">
        <f t="shared" si="8"/>
        <v>H28年建築物省エネルギー法</v>
      </c>
      <c r="AC18" s="103" t="s">
        <v>346</v>
      </c>
      <c r="AD18" s="140" t="str">
        <f t="shared" si="9"/>
        <v>smash マニュアル</v>
      </c>
      <c r="AE18" s="103" t="s">
        <v>395</v>
      </c>
      <c r="AF18" s="103" t="s">
        <v>400</v>
      </c>
    </row>
    <row r="19" spans="1:32" ht="14.2" customHeight="1" x14ac:dyDescent="0.25">
      <c r="A19" s="128" t="s">
        <v>606</v>
      </c>
      <c r="B19" s="129">
        <v>0.04</v>
      </c>
      <c r="C19" s="364">
        <v>10</v>
      </c>
      <c r="D19" s="130">
        <v>5.8799999999999998E-3</v>
      </c>
      <c r="E19" s="382">
        <v>11</v>
      </c>
      <c r="F19" s="131">
        <v>12.3</v>
      </c>
      <c r="G19" s="382">
        <v>11</v>
      </c>
      <c r="H19" s="132">
        <v>100</v>
      </c>
      <c r="I19" s="129">
        <f t="shared" si="0"/>
        <v>2.5</v>
      </c>
      <c r="J19" s="364">
        <v>90</v>
      </c>
      <c r="K19" s="130">
        <f t="shared" si="1"/>
        <v>5.8799999999999998E-4</v>
      </c>
      <c r="L19" s="382">
        <v>90</v>
      </c>
      <c r="M19" s="133"/>
      <c r="N19" s="383">
        <v>90</v>
      </c>
      <c r="O19" s="134">
        <v>37.673999999999999</v>
      </c>
      <c r="P19" s="428">
        <v>61</v>
      </c>
      <c r="Q19" s="135">
        <f t="shared" si="11"/>
        <v>1.0764</v>
      </c>
      <c r="R19" s="428">
        <v>90</v>
      </c>
      <c r="S19" s="135">
        <v>35</v>
      </c>
      <c r="T19" s="428">
        <v>11</v>
      </c>
      <c r="U19" s="135">
        <f t="shared" si="4"/>
        <v>0.26543504804374368</v>
      </c>
      <c r="V19" s="428">
        <v>90</v>
      </c>
      <c r="W19" s="136">
        <f t="shared" si="5"/>
        <v>38.81958268709235</v>
      </c>
      <c r="X19" s="137">
        <f t="shared" si="10"/>
        <v>10.617401921749748</v>
      </c>
      <c r="Y19" s="138">
        <f t="shared" si="6"/>
        <v>1.1557222697060039</v>
      </c>
      <c r="Z19" s="138">
        <f t="shared" si="7"/>
        <v>0.11557222697060039</v>
      </c>
      <c r="AA19" s="139"/>
      <c r="AB19" s="140" t="str">
        <f t="shared" si="8"/>
        <v>H28年建築物省エネルギー法</v>
      </c>
      <c r="AC19" s="103" t="s">
        <v>346</v>
      </c>
      <c r="AD19" s="140" t="str">
        <f t="shared" si="9"/>
        <v>smash マニュアル</v>
      </c>
      <c r="AE19" s="103" t="s">
        <v>395</v>
      </c>
      <c r="AF19" s="103" t="s">
        <v>400</v>
      </c>
    </row>
    <row r="20" spans="1:32" ht="14.2" customHeight="1" x14ac:dyDescent="0.25">
      <c r="A20" s="128" t="s">
        <v>126</v>
      </c>
      <c r="B20" s="129">
        <v>6.4000000000000001E-2</v>
      </c>
      <c r="C20" s="364">
        <v>10</v>
      </c>
      <c r="D20" s="130">
        <v>5.8799999999999998E-3</v>
      </c>
      <c r="E20" s="382">
        <v>11</v>
      </c>
      <c r="F20" s="131">
        <v>12.3</v>
      </c>
      <c r="G20" s="382">
        <v>11</v>
      </c>
      <c r="H20" s="132">
        <v>100</v>
      </c>
      <c r="I20" s="129">
        <f t="shared" ref="I20:I33" si="12">H20/B20/1000</f>
        <v>1.5625</v>
      </c>
      <c r="J20" s="364">
        <v>90</v>
      </c>
      <c r="K20" s="130">
        <f t="shared" si="1"/>
        <v>5.8799999999999998E-4</v>
      </c>
      <c r="L20" s="382">
        <v>90</v>
      </c>
      <c r="M20" s="133">
        <f t="shared" si="2"/>
        <v>1.23</v>
      </c>
      <c r="N20" s="383">
        <v>90</v>
      </c>
      <c r="O20" s="134">
        <v>168</v>
      </c>
      <c r="P20" s="428">
        <v>62</v>
      </c>
      <c r="Q20" s="135">
        <f t="shared" si="11"/>
        <v>0.84</v>
      </c>
      <c r="R20" s="428">
        <v>90</v>
      </c>
      <c r="S20" s="142">
        <v>200</v>
      </c>
      <c r="T20" s="428">
        <v>22</v>
      </c>
      <c r="U20" s="135">
        <f t="shared" si="4"/>
        <v>9.5238095238095233E-2</v>
      </c>
      <c r="V20" s="428">
        <v>90</v>
      </c>
      <c r="W20" s="136">
        <f t="shared" si="5"/>
        <v>103.69185117452577</v>
      </c>
      <c r="X20" s="137">
        <f t="shared" si="10"/>
        <v>3.8095238095238098</v>
      </c>
      <c r="Y20" s="138">
        <f t="shared" si="6"/>
        <v>1.1557222697060039</v>
      </c>
      <c r="Z20" s="138">
        <f t="shared" si="7"/>
        <v>0.11557222697060039</v>
      </c>
      <c r="AA20" s="143"/>
      <c r="AB20" s="140" t="str">
        <f t="shared" si="8"/>
        <v>H28年建築物省エネルギー法</v>
      </c>
      <c r="AC20" s="103" t="s">
        <v>346</v>
      </c>
      <c r="AD20" s="140" t="str">
        <f t="shared" si="9"/>
        <v>SolarDesigner6マニュアル</v>
      </c>
      <c r="AE20" s="103" t="s">
        <v>396</v>
      </c>
      <c r="AF20" s="103" t="s">
        <v>400</v>
      </c>
    </row>
    <row r="21" spans="1:32" ht="14.2" customHeight="1" x14ac:dyDescent="0.25">
      <c r="A21" s="128" t="s">
        <v>362</v>
      </c>
      <c r="B21" s="129">
        <v>3.7999999999999999E-2</v>
      </c>
      <c r="C21" s="364">
        <v>10</v>
      </c>
      <c r="D21" s="130">
        <v>5.8799999999999998E-3</v>
      </c>
      <c r="E21" s="382">
        <v>11</v>
      </c>
      <c r="F21" s="131">
        <v>12.3</v>
      </c>
      <c r="G21" s="382">
        <v>11</v>
      </c>
      <c r="H21" s="132">
        <v>100</v>
      </c>
      <c r="I21" s="129">
        <f t="shared" si="12"/>
        <v>2.6315789473684212</v>
      </c>
      <c r="J21" s="364">
        <v>90</v>
      </c>
      <c r="K21" s="130">
        <f t="shared" si="1"/>
        <v>5.8799999999999998E-4</v>
      </c>
      <c r="L21" s="382">
        <v>90</v>
      </c>
      <c r="M21" s="133">
        <f t="shared" si="2"/>
        <v>1.23</v>
      </c>
      <c r="N21" s="383">
        <v>90</v>
      </c>
      <c r="O21" s="134">
        <v>134.4</v>
      </c>
      <c r="P21" s="428">
        <v>62</v>
      </c>
      <c r="Q21" s="135">
        <f t="shared" si="11"/>
        <v>3.3600000000000003</v>
      </c>
      <c r="R21" s="428">
        <v>90</v>
      </c>
      <c r="S21" s="135">
        <v>40</v>
      </c>
      <c r="T21" s="428">
        <v>22</v>
      </c>
      <c r="U21" s="135">
        <f t="shared" si="4"/>
        <v>7.0684523809523808E-2</v>
      </c>
      <c r="V21" s="428">
        <v>90</v>
      </c>
      <c r="W21" s="136">
        <f t="shared" si="5"/>
        <v>71.464676589207343</v>
      </c>
      <c r="X21" s="137">
        <f t="shared" si="10"/>
        <v>2.8273809523809521</v>
      </c>
      <c r="Y21" s="138">
        <f t="shared" si="6"/>
        <v>1.1557222697060039</v>
      </c>
      <c r="Z21" s="138">
        <f t="shared" si="7"/>
        <v>0.11557222697060039</v>
      </c>
      <c r="AA21" s="139"/>
      <c r="AB21" s="140" t="str">
        <f t="shared" si="8"/>
        <v>H28年建築物省エネルギー法</v>
      </c>
      <c r="AC21" s="103" t="s">
        <v>346</v>
      </c>
      <c r="AD21" s="140" t="str">
        <f t="shared" si="9"/>
        <v>SolarDesigner6マニュアル</v>
      </c>
      <c r="AE21" s="103" t="s">
        <v>394</v>
      </c>
      <c r="AF21" s="103" t="s">
        <v>400</v>
      </c>
    </row>
    <row r="22" spans="1:32" ht="14.2" customHeight="1" x14ac:dyDescent="0.25">
      <c r="A22" s="128" t="s">
        <v>363</v>
      </c>
      <c r="B22" s="129">
        <v>3.7999999999999999E-2</v>
      </c>
      <c r="C22" s="364">
        <v>10</v>
      </c>
      <c r="D22" s="130">
        <v>5.8799999999999998E-3</v>
      </c>
      <c r="E22" s="382">
        <v>11</v>
      </c>
      <c r="F22" s="131">
        <v>12.3</v>
      </c>
      <c r="G22" s="382">
        <v>11</v>
      </c>
      <c r="H22" s="132">
        <v>100</v>
      </c>
      <c r="I22" s="129">
        <f t="shared" si="12"/>
        <v>2.6315789473684212</v>
      </c>
      <c r="J22" s="364">
        <v>90</v>
      </c>
      <c r="K22" s="130">
        <f t="shared" si="1"/>
        <v>5.8799999999999998E-4</v>
      </c>
      <c r="L22" s="382">
        <v>90</v>
      </c>
      <c r="M22" s="133">
        <f t="shared" si="2"/>
        <v>1.23</v>
      </c>
      <c r="N22" s="383">
        <v>90</v>
      </c>
      <c r="O22" s="134">
        <v>134.4</v>
      </c>
      <c r="P22" s="428">
        <v>62</v>
      </c>
      <c r="Q22" s="135">
        <f t="shared" si="11"/>
        <v>2.6880000000000002</v>
      </c>
      <c r="R22" s="428">
        <v>90</v>
      </c>
      <c r="S22" s="135">
        <v>50</v>
      </c>
      <c r="T22" s="428">
        <v>22</v>
      </c>
      <c r="U22" s="135">
        <f t="shared" si="4"/>
        <v>7.0684523809523808E-2</v>
      </c>
      <c r="V22" s="428">
        <v>90</v>
      </c>
      <c r="W22" s="136">
        <f t="shared" si="5"/>
        <v>71.464676589207343</v>
      </c>
      <c r="X22" s="137">
        <f t="shared" si="10"/>
        <v>2.8273809523809521</v>
      </c>
      <c r="Y22" s="138">
        <f t="shared" si="6"/>
        <v>1.1557222697060039</v>
      </c>
      <c r="Z22" s="138">
        <f t="shared" si="7"/>
        <v>0.11557222697060039</v>
      </c>
      <c r="AA22" s="139"/>
      <c r="AB22" s="140" t="str">
        <f t="shared" si="8"/>
        <v>H28年建築物省エネルギー法</v>
      </c>
      <c r="AC22" s="103" t="s">
        <v>346</v>
      </c>
      <c r="AD22" s="140" t="str">
        <f t="shared" si="9"/>
        <v>SolarDesigner6マニュアル</v>
      </c>
      <c r="AE22" s="103" t="s">
        <v>394</v>
      </c>
      <c r="AF22" s="103" t="s">
        <v>400</v>
      </c>
    </row>
    <row r="23" spans="1:32" ht="14.2" customHeight="1" x14ac:dyDescent="0.25">
      <c r="A23" s="128" t="s">
        <v>364</v>
      </c>
      <c r="B23" s="129">
        <v>3.5999999999999997E-2</v>
      </c>
      <c r="C23" s="364">
        <v>10</v>
      </c>
      <c r="D23" s="130">
        <v>5.8799999999999998E-3</v>
      </c>
      <c r="E23" s="382">
        <v>11</v>
      </c>
      <c r="F23" s="131">
        <v>12.3</v>
      </c>
      <c r="G23" s="382">
        <v>11</v>
      </c>
      <c r="H23" s="132">
        <v>100</v>
      </c>
      <c r="I23" s="129">
        <f t="shared" si="12"/>
        <v>2.7777777777777777</v>
      </c>
      <c r="J23" s="364">
        <v>90</v>
      </c>
      <c r="K23" s="130">
        <f t="shared" si="1"/>
        <v>5.8799999999999998E-4</v>
      </c>
      <c r="L23" s="382">
        <v>90</v>
      </c>
      <c r="M23" s="133">
        <f t="shared" si="2"/>
        <v>1.23</v>
      </c>
      <c r="N23" s="383">
        <v>90</v>
      </c>
      <c r="O23" s="134">
        <v>134.4</v>
      </c>
      <c r="P23" s="428">
        <v>62</v>
      </c>
      <c r="Q23" s="135">
        <f t="shared" si="11"/>
        <v>1.792</v>
      </c>
      <c r="R23" s="428">
        <v>90</v>
      </c>
      <c r="S23" s="135">
        <v>75</v>
      </c>
      <c r="T23" s="428">
        <v>22</v>
      </c>
      <c r="U23" s="135">
        <f t="shared" si="4"/>
        <v>6.6964285714285698E-2</v>
      </c>
      <c r="V23" s="428">
        <v>90</v>
      </c>
      <c r="W23" s="136">
        <f t="shared" si="5"/>
        <v>69.558608381709305</v>
      </c>
      <c r="X23" s="137">
        <f t="shared" si="10"/>
        <v>2.6785714285714284</v>
      </c>
      <c r="Y23" s="138">
        <f t="shared" si="6"/>
        <v>1.1557222697060039</v>
      </c>
      <c r="Z23" s="138">
        <f t="shared" si="7"/>
        <v>0.11557222697060039</v>
      </c>
      <c r="AA23" s="139"/>
      <c r="AB23" s="140" t="str">
        <f t="shared" si="8"/>
        <v>H28年建築物省エネルギー法</v>
      </c>
      <c r="AC23" s="103" t="s">
        <v>346</v>
      </c>
      <c r="AD23" s="140" t="str">
        <f t="shared" si="9"/>
        <v>SolarDesigner6マニュアル</v>
      </c>
      <c r="AE23" s="103" t="s">
        <v>394</v>
      </c>
      <c r="AF23" s="103" t="s">
        <v>400</v>
      </c>
    </row>
    <row r="24" spans="1:32" ht="14.2" customHeight="1" x14ac:dyDescent="0.25">
      <c r="A24" s="128" t="s">
        <v>607</v>
      </c>
      <c r="B24" s="129">
        <v>4.7E-2</v>
      </c>
      <c r="C24" s="364">
        <v>10</v>
      </c>
      <c r="D24" s="130">
        <v>5.8799999999999998E-3</v>
      </c>
      <c r="E24" s="382">
        <v>11</v>
      </c>
      <c r="F24" s="131">
        <v>12.3</v>
      </c>
      <c r="G24" s="382">
        <v>11</v>
      </c>
      <c r="H24" s="132">
        <v>100</v>
      </c>
      <c r="I24" s="129">
        <f t="shared" si="12"/>
        <v>2.1276595744680851</v>
      </c>
      <c r="J24" s="364">
        <v>90</v>
      </c>
      <c r="K24" s="130">
        <f t="shared" si="1"/>
        <v>5.8799999999999998E-4</v>
      </c>
      <c r="L24" s="382">
        <v>90</v>
      </c>
      <c r="M24" s="133">
        <f t="shared" ref="M24:M27" si="13">F24*H24/1000</f>
        <v>1.23</v>
      </c>
      <c r="N24" s="383">
        <v>90</v>
      </c>
      <c r="O24" s="134">
        <v>134.4</v>
      </c>
      <c r="P24" s="428">
        <v>62</v>
      </c>
      <c r="Q24" s="135">
        <f t="shared" ref="Q24:Q25" si="14">O24/S24</f>
        <v>5.3760000000000003</v>
      </c>
      <c r="R24" s="428">
        <v>90</v>
      </c>
      <c r="S24" s="135">
        <v>25</v>
      </c>
      <c r="T24" s="428">
        <v>11</v>
      </c>
      <c r="U24" s="135">
        <f t="shared" si="4"/>
        <v>8.7425595238095233E-2</v>
      </c>
      <c r="V24" s="428">
        <v>90</v>
      </c>
      <c r="W24" s="136">
        <f t="shared" si="5"/>
        <v>79.478298924926676</v>
      </c>
      <c r="X24" s="137">
        <f t="shared" si="10"/>
        <v>3.4970238095238093</v>
      </c>
      <c r="Y24" s="138">
        <f t="shared" si="6"/>
        <v>1.1557222697060039</v>
      </c>
      <c r="Z24" s="138">
        <f t="shared" si="7"/>
        <v>0.11557222697060039</v>
      </c>
      <c r="AA24" s="139"/>
      <c r="AB24" s="140" t="str">
        <f t="shared" si="8"/>
        <v>H28年建築物省エネルギー法</v>
      </c>
      <c r="AC24" s="103" t="s">
        <v>346</v>
      </c>
      <c r="AD24" s="140" t="str">
        <f t="shared" si="9"/>
        <v>SolarDesigner6マニュアル</v>
      </c>
      <c r="AE24" s="103" t="s">
        <v>395</v>
      </c>
      <c r="AF24" s="103" t="s">
        <v>400</v>
      </c>
    </row>
    <row r="25" spans="1:32" ht="14.2" customHeight="1" x14ac:dyDescent="0.25">
      <c r="A25" s="128" t="s">
        <v>608</v>
      </c>
      <c r="B25" s="129">
        <v>3.9E-2</v>
      </c>
      <c r="C25" s="364">
        <v>10</v>
      </c>
      <c r="D25" s="130">
        <v>5.8799999999999998E-3</v>
      </c>
      <c r="E25" s="382">
        <v>11</v>
      </c>
      <c r="F25" s="131">
        <v>12.3</v>
      </c>
      <c r="G25" s="382">
        <v>11</v>
      </c>
      <c r="H25" s="132">
        <v>100</v>
      </c>
      <c r="I25" s="129">
        <f t="shared" si="12"/>
        <v>2.5641025641025639</v>
      </c>
      <c r="J25" s="364">
        <v>90</v>
      </c>
      <c r="K25" s="130">
        <f t="shared" si="1"/>
        <v>5.8799999999999998E-4</v>
      </c>
      <c r="L25" s="382">
        <v>90</v>
      </c>
      <c r="M25" s="133">
        <f t="shared" si="13"/>
        <v>1.23</v>
      </c>
      <c r="N25" s="383">
        <v>90</v>
      </c>
      <c r="O25" s="134">
        <v>134.4</v>
      </c>
      <c r="P25" s="428">
        <v>62</v>
      </c>
      <c r="Q25" s="135">
        <f t="shared" si="14"/>
        <v>2.0676923076923077</v>
      </c>
      <c r="R25" s="428">
        <v>90</v>
      </c>
      <c r="S25" s="135">
        <v>65</v>
      </c>
      <c r="T25" s="428">
        <v>11</v>
      </c>
      <c r="U25" s="135">
        <f t="shared" si="4"/>
        <v>7.2544642857142863E-2</v>
      </c>
      <c r="V25" s="428">
        <v>90</v>
      </c>
      <c r="W25" s="136">
        <f t="shared" si="5"/>
        <v>72.398895019192111</v>
      </c>
      <c r="X25" s="137">
        <f t="shared" si="10"/>
        <v>2.9017857142857144</v>
      </c>
      <c r="Y25" s="138">
        <f t="shared" si="6"/>
        <v>1.1557222697060039</v>
      </c>
      <c r="Z25" s="138">
        <f t="shared" si="7"/>
        <v>0.11557222697060039</v>
      </c>
      <c r="AA25" s="144"/>
      <c r="AB25" s="140" t="str">
        <f t="shared" si="8"/>
        <v>H28年建築物省エネルギー法</v>
      </c>
      <c r="AC25" s="103" t="s">
        <v>346</v>
      </c>
      <c r="AD25" s="140" t="str">
        <f t="shared" si="9"/>
        <v>SolarDesigner6マニュアル</v>
      </c>
      <c r="AE25" s="103" t="s">
        <v>395</v>
      </c>
      <c r="AF25" s="103" t="s">
        <v>400</v>
      </c>
    </row>
    <row r="26" spans="1:32" ht="14.2" customHeight="1" x14ac:dyDescent="0.25">
      <c r="A26" s="128" t="s">
        <v>365</v>
      </c>
      <c r="B26" s="145">
        <v>0.04</v>
      </c>
      <c r="C26" s="364">
        <v>10</v>
      </c>
      <c r="D26" s="130">
        <v>6.45E-3</v>
      </c>
      <c r="E26" s="382">
        <v>11</v>
      </c>
      <c r="F26" s="131">
        <v>13.4</v>
      </c>
      <c r="G26" s="382">
        <v>11</v>
      </c>
      <c r="H26" s="132">
        <v>100</v>
      </c>
      <c r="I26" s="129">
        <f t="shared" si="12"/>
        <v>2.5</v>
      </c>
      <c r="J26" s="364">
        <v>90</v>
      </c>
      <c r="K26" s="130">
        <f t="shared" si="1"/>
        <v>6.4500000000000007E-4</v>
      </c>
      <c r="L26" s="382">
        <v>90</v>
      </c>
      <c r="M26" s="133">
        <f t="shared" si="13"/>
        <v>1.34</v>
      </c>
      <c r="N26" s="383">
        <v>90</v>
      </c>
      <c r="O26" s="134">
        <f>Q26*S26</f>
        <v>47.5</v>
      </c>
      <c r="P26" s="428">
        <v>90</v>
      </c>
      <c r="Q26" s="135">
        <v>1.9</v>
      </c>
      <c r="R26" s="428">
        <v>54</v>
      </c>
      <c r="S26" s="135">
        <v>25</v>
      </c>
      <c r="T26" s="428">
        <v>11</v>
      </c>
      <c r="U26" s="135">
        <f t="shared" si="4"/>
        <v>0.21052631578947367</v>
      </c>
      <c r="V26" s="428">
        <v>90</v>
      </c>
      <c r="W26" s="136">
        <f t="shared" si="5"/>
        <v>43.588989435406738</v>
      </c>
      <c r="X26" s="137">
        <f t="shared" si="10"/>
        <v>8.4210526315789487</v>
      </c>
      <c r="Y26" s="138">
        <f t="shared" si="6"/>
        <v>1.2677565713611778</v>
      </c>
      <c r="Z26" s="138">
        <f t="shared" si="7"/>
        <v>0.1267756571361178</v>
      </c>
      <c r="AA26" s="141"/>
      <c r="AB26" s="140" t="str">
        <f t="shared" si="8"/>
        <v>H28年建築物省エネルギー法</v>
      </c>
      <c r="AC26" s="103" t="s">
        <v>346</v>
      </c>
      <c r="AD26" s="140" t="str">
        <f t="shared" si="9"/>
        <v>計算値</v>
      </c>
      <c r="AE26" s="103" t="s">
        <v>395</v>
      </c>
      <c r="AF26" s="103" t="s">
        <v>400</v>
      </c>
    </row>
    <row r="27" spans="1:32" ht="14.2" customHeight="1" x14ac:dyDescent="0.25">
      <c r="A27" s="128" t="s">
        <v>366</v>
      </c>
      <c r="B27" s="145">
        <v>0.04</v>
      </c>
      <c r="C27" s="364">
        <v>10</v>
      </c>
      <c r="D27" s="130">
        <v>6.45E-3</v>
      </c>
      <c r="E27" s="382">
        <v>11</v>
      </c>
      <c r="F27" s="146">
        <v>13.4</v>
      </c>
      <c r="G27" s="382">
        <v>11</v>
      </c>
      <c r="H27" s="132">
        <v>100</v>
      </c>
      <c r="I27" s="129">
        <f t="shared" si="12"/>
        <v>2.5</v>
      </c>
      <c r="J27" s="364">
        <v>90</v>
      </c>
      <c r="K27" s="130">
        <f t="shared" si="1"/>
        <v>6.4500000000000007E-4</v>
      </c>
      <c r="L27" s="382">
        <v>90</v>
      </c>
      <c r="M27" s="133">
        <f t="shared" si="13"/>
        <v>1.34</v>
      </c>
      <c r="N27" s="383">
        <v>90</v>
      </c>
      <c r="O27" s="134">
        <f t="shared" ref="O27:O28" si="15">Q27*S27</f>
        <v>85.5</v>
      </c>
      <c r="P27" s="428">
        <v>90</v>
      </c>
      <c r="Q27" s="135">
        <v>1.9</v>
      </c>
      <c r="R27" s="430">
        <v>54</v>
      </c>
      <c r="S27" s="135">
        <v>45</v>
      </c>
      <c r="T27" s="430">
        <v>11</v>
      </c>
      <c r="U27" s="135">
        <f t="shared" si="4"/>
        <v>0.11695906432748537</v>
      </c>
      <c r="V27" s="428">
        <v>90</v>
      </c>
      <c r="W27" s="136">
        <f t="shared" si="5"/>
        <v>58.480766068853782</v>
      </c>
      <c r="X27" s="137">
        <f t="shared" si="10"/>
        <v>4.6783625730994158</v>
      </c>
      <c r="Y27" s="138">
        <f t="shared" si="6"/>
        <v>1.2677565713611778</v>
      </c>
      <c r="Z27" s="138">
        <f t="shared" si="7"/>
        <v>0.1267756571361178</v>
      </c>
      <c r="AA27" s="147"/>
      <c r="AB27" s="140" t="str">
        <f t="shared" si="8"/>
        <v>H28年建築物省エネルギー法</v>
      </c>
      <c r="AC27" s="103" t="s">
        <v>346</v>
      </c>
      <c r="AD27" s="140" t="str">
        <f t="shared" si="9"/>
        <v>計算値</v>
      </c>
      <c r="AE27" s="103" t="s">
        <v>395</v>
      </c>
      <c r="AF27" s="103" t="s">
        <v>400</v>
      </c>
    </row>
    <row r="28" spans="1:32" ht="14.2" customHeight="1" x14ac:dyDescent="0.25">
      <c r="A28" s="128" t="s">
        <v>367</v>
      </c>
      <c r="B28" s="145">
        <v>0.04</v>
      </c>
      <c r="C28" s="364">
        <v>10</v>
      </c>
      <c r="D28" s="130">
        <v>6.45E-3</v>
      </c>
      <c r="E28" s="382">
        <v>11</v>
      </c>
      <c r="F28" s="146">
        <v>13.4</v>
      </c>
      <c r="G28" s="382">
        <v>11</v>
      </c>
      <c r="H28" s="132">
        <v>100</v>
      </c>
      <c r="I28" s="129">
        <f t="shared" si="12"/>
        <v>2.5</v>
      </c>
      <c r="J28" s="364">
        <v>90</v>
      </c>
      <c r="K28" s="130">
        <f t="shared" si="1"/>
        <v>6.4500000000000007E-4</v>
      </c>
      <c r="L28" s="382">
        <v>90</v>
      </c>
      <c r="M28" s="133">
        <f t="shared" ref="M28:M33" si="16">F28*H28/1000</f>
        <v>1.34</v>
      </c>
      <c r="N28" s="383">
        <v>90</v>
      </c>
      <c r="O28" s="134">
        <f t="shared" si="15"/>
        <v>104.5</v>
      </c>
      <c r="P28" s="428">
        <v>90</v>
      </c>
      <c r="Q28" s="135">
        <v>1.9</v>
      </c>
      <c r="R28" s="430">
        <v>54</v>
      </c>
      <c r="S28" s="135">
        <v>55</v>
      </c>
      <c r="T28" s="430">
        <v>11</v>
      </c>
      <c r="U28" s="135">
        <f t="shared" si="4"/>
        <v>9.569377990430622E-2</v>
      </c>
      <c r="V28" s="428">
        <v>90</v>
      </c>
      <c r="W28" s="136">
        <f t="shared" si="5"/>
        <v>64.652919500978456</v>
      </c>
      <c r="X28" s="137">
        <f>B28/O28*10000</f>
        <v>3.8277511961722488</v>
      </c>
      <c r="Y28" s="138">
        <f t="shared" si="6"/>
        <v>1.2677565713611778</v>
      </c>
      <c r="Z28" s="138">
        <f t="shared" si="7"/>
        <v>0.1267756571361178</v>
      </c>
      <c r="AA28" s="147"/>
      <c r="AB28" s="140" t="str">
        <f t="shared" si="8"/>
        <v>H28年建築物省エネルギー法</v>
      </c>
      <c r="AC28" s="103" t="s">
        <v>346</v>
      </c>
      <c r="AD28" s="140" t="str">
        <f t="shared" si="9"/>
        <v>計算値</v>
      </c>
      <c r="AE28" s="103" t="s">
        <v>395</v>
      </c>
      <c r="AF28" s="103" t="s">
        <v>400</v>
      </c>
    </row>
    <row r="29" spans="1:32" ht="14.2" customHeight="1" x14ac:dyDescent="0.25">
      <c r="A29" s="128" t="s">
        <v>611</v>
      </c>
      <c r="B29" s="145">
        <v>0.04</v>
      </c>
      <c r="C29" s="364">
        <v>10</v>
      </c>
      <c r="D29" s="130"/>
      <c r="E29" s="387"/>
      <c r="F29" s="146"/>
      <c r="G29" s="383"/>
      <c r="H29" s="132">
        <v>100</v>
      </c>
      <c r="I29" s="129">
        <f t="shared" si="12"/>
        <v>2.5</v>
      </c>
      <c r="J29" s="364">
        <v>90</v>
      </c>
      <c r="K29" s="130"/>
      <c r="L29" s="382"/>
      <c r="M29" s="133"/>
      <c r="N29" s="383"/>
      <c r="O29" s="134"/>
      <c r="P29" s="428"/>
      <c r="Q29" s="135"/>
      <c r="R29" s="430"/>
      <c r="S29" s="135"/>
      <c r="T29" s="430"/>
      <c r="U29" s="135"/>
      <c r="V29" s="428"/>
      <c r="W29" s="136"/>
      <c r="X29" s="137"/>
      <c r="Y29" s="138"/>
      <c r="Z29" s="138"/>
      <c r="AA29" s="147"/>
      <c r="AB29" s="140" t="str">
        <f t="shared" si="8"/>
        <v>H28年建築物省エネルギー法</v>
      </c>
      <c r="AD29" s="140"/>
    </row>
    <row r="30" spans="1:32" ht="14.2" customHeight="1" x14ac:dyDescent="0.25">
      <c r="A30" s="128" t="s">
        <v>612</v>
      </c>
      <c r="B30" s="145">
        <v>5.1999999999999998E-2</v>
      </c>
      <c r="C30" s="364">
        <v>10</v>
      </c>
      <c r="D30" s="130"/>
      <c r="E30" s="387"/>
      <c r="F30" s="146"/>
      <c r="G30" s="383"/>
      <c r="H30" s="132">
        <v>100</v>
      </c>
      <c r="I30" s="129">
        <f t="shared" si="12"/>
        <v>1.9230769230769231</v>
      </c>
      <c r="J30" s="364">
        <v>90</v>
      </c>
      <c r="K30" s="130"/>
      <c r="L30" s="382"/>
      <c r="M30" s="133"/>
      <c r="N30" s="383"/>
      <c r="O30" s="134"/>
      <c r="P30" s="428"/>
      <c r="Q30" s="135"/>
      <c r="R30" s="430"/>
      <c r="S30" s="135"/>
      <c r="T30" s="430"/>
      <c r="U30" s="135"/>
      <c r="V30" s="428"/>
      <c r="W30" s="136"/>
      <c r="X30" s="137"/>
      <c r="Y30" s="138"/>
      <c r="Z30" s="138"/>
      <c r="AA30" s="147"/>
      <c r="AB30" s="140"/>
      <c r="AD30" s="140"/>
    </row>
    <row r="31" spans="1:32" ht="14.2" customHeight="1" x14ac:dyDescent="0.25">
      <c r="A31" s="128" t="s">
        <v>635</v>
      </c>
      <c r="B31" s="148">
        <v>3.5999999999999997E-2</v>
      </c>
      <c r="C31" s="365">
        <v>71</v>
      </c>
      <c r="D31" s="130">
        <v>9.4339599999999999E-3</v>
      </c>
      <c r="E31" s="387">
        <v>71</v>
      </c>
      <c r="F31" s="131">
        <f t="shared" ref="F31:F32" si="17">D31/(3600*10^-9/760*1.013*10^5)</f>
        <v>19.660550619721402</v>
      </c>
      <c r="G31" s="384">
        <v>90</v>
      </c>
      <c r="H31" s="132">
        <v>100</v>
      </c>
      <c r="I31" s="129">
        <f>H31/B31/1000</f>
        <v>2.7777777777777777</v>
      </c>
      <c r="J31" s="364">
        <v>90</v>
      </c>
      <c r="K31" s="130">
        <f t="shared" ref="K31" si="18">D31*H31/1000</f>
        <v>9.4339599999999999E-4</v>
      </c>
      <c r="L31" s="382">
        <v>90</v>
      </c>
      <c r="M31" s="133">
        <f t="shared" ref="M31" si="19">F31*H31/1000</f>
        <v>1.9660550619721402</v>
      </c>
      <c r="N31" s="383">
        <v>90</v>
      </c>
      <c r="O31" s="134">
        <f>Q31*S31</f>
        <v>105</v>
      </c>
      <c r="P31" s="428">
        <v>90</v>
      </c>
      <c r="Q31" s="135">
        <v>2.1</v>
      </c>
      <c r="R31" s="430">
        <v>71</v>
      </c>
      <c r="S31" s="135">
        <v>50</v>
      </c>
      <c r="T31" s="430">
        <v>71</v>
      </c>
      <c r="U31" s="135">
        <f t="shared" ref="U31" si="20">((B31/O31)/($B$194/$O$194))*0.2</f>
        <v>8.5714285714285715E-2</v>
      </c>
      <c r="V31" s="428">
        <v>90</v>
      </c>
      <c r="W31" s="136">
        <f t="shared" ref="W31" si="21">SQRT(B31*O31*1000)</f>
        <v>61.481704595757591</v>
      </c>
      <c r="X31" s="137">
        <f>B31/O31*10000</f>
        <v>3.4285714285714284</v>
      </c>
      <c r="Y31" s="138">
        <f t="shared" ref="Y31" si="22">K31/(H31/1000)*((2*10^-7*(20+273)^0.81/101325)*10^12)</f>
        <v>1.8542581060400769</v>
      </c>
      <c r="Z31" s="138">
        <f t="shared" ref="Z31" si="23">Y31*(H31/1000)</f>
        <v>0.1854258106040077</v>
      </c>
      <c r="AA31" s="150" t="s">
        <v>581</v>
      </c>
      <c r="AB31" s="140"/>
      <c r="AD31" s="140"/>
    </row>
    <row r="32" spans="1:32" ht="14.2" customHeight="1" x14ac:dyDescent="0.25">
      <c r="A32" s="128" t="s">
        <v>636</v>
      </c>
      <c r="B32" s="148">
        <v>3.7999999999999999E-2</v>
      </c>
      <c r="C32" s="365">
        <v>71</v>
      </c>
      <c r="D32" s="130">
        <v>9.4339599999999999E-3</v>
      </c>
      <c r="E32" s="387">
        <v>71</v>
      </c>
      <c r="F32" s="131">
        <f t="shared" si="17"/>
        <v>19.660550619721402</v>
      </c>
      <c r="G32" s="384">
        <v>90</v>
      </c>
      <c r="H32" s="132">
        <v>100</v>
      </c>
      <c r="I32" s="129">
        <f t="shared" ref="I32" si="24">H32/B32/1000</f>
        <v>2.6315789473684212</v>
      </c>
      <c r="J32" s="364">
        <v>90</v>
      </c>
      <c r="K32" s="130">
        <f t="shared" si="1"/>
        <v>9.4339599999999999E-4</v>
      </c>
      <c r="L32" s="382">
        <v>90</v>
      </c>
      <c r="M32" s="133">
        <f t="shared" ref="M32" si="25">F32*H32/1000</f>
        <v>1.9660550619721402</v>
      </c>
      <c r="N32" s="383">
        <v>90</v>
      </c>
      <c r="O32" s="149">
        <f>Q32*S32</f>
        <v>105</v>
      </c>
      <c r="P32" s="429">
        <v>90</v>
      </c>
      <c r="Q32" s="135">
        <v>2.1</v>
      </c>
      <c r="R32" s="429">
        <v>71</v>
      </c>
      <c r="S32" s="135">
        <v>50</v>
      </c>
      <c r="T32" s="429">
        <v>71</v>
      </c>
      <c r="U32" s="135">
        <f t="shared" ref="U32:U39" si="26">((B32/O32)/($B$194/$O$194))*0.2</f>
        <v>9.0476190476190488E-2</v>
      </c>
      <c r="V32" s="428">
        <v>90</v>
      </c>
      <c r="W32" s="136">
        <f t="shared" ref="W32" si="27">SQRT(B32*O32*1000)</f>
        <v>63.166446789415026</v>
      </c>
      <c r="X32" s="137">
        <f t="shared" ref="X32" si="28">B32/O32*10000</f>
        <v>3.6190476190476191</v>
      </c>
      <c r="Y32" s="138">
        <f t="shared" si="6"/>
        <v>1.8542581060400769</v>
      </c>
      <c r="Z32" s="138">
        <f t="shared" si="7"/>
        <v>0.1854258106040077</v>
      </c>
      <c r="AA32" s="150" t="s">
        <v>581</v>
      </c>
      <c r="AB32" s="140"/>
      <c r="AD32" s="140"/>
    </row>
    <row r="33" spans="1:32" ht="14.2" customHeight="1" x14ac:dyDescent="0.25">
      <c r="A33" s="151" t="s">
        <v>660</v>
      </c>
      <c r="B33" s="148">
        <v>3.7999999999999999E-2</v>
      </c>
      <c r="C33" s="365">
        <v>71</v>
      </c>
      <c r="D33" s="130">
        <f>K33/(H33/1000)</f>
        <v>9.2464169999999998E-3</v>
      </c>
      <c r="E33" s="387">
        <v>90</v>
      </c>
      <c r="F33" s="131">
        <f t="shared" ref="F33:F39" si="29">D33/(3600*10^-9/760*1.013*10^5)</f>
        <v>19.269707469562356</v>
      </c>
      <c r="G33" s="384">
        <v>90</v>
      </c>
      <c r="H33" s="132">
        <v>100</v>
      </c>
      <c r="I33" s="129">
        <f t="shared" si="12"/>
        <v>2.6315789473684212</v>
      </c>
      <c r="J33" s="364">
        <v>90</v>
      </c>
      <c r="K33" s="130">
        <v>9.2464170000000005E-4</v>
      </c>
      <c r="L33" s="382">
        <v>71</v>
      </c>
      <c r="M33" s="133">
        <f t="shared" si="16"/>
        <v>1.9269707469562356</v>
      </c>
      <c r="N33" s="383">
        <v>90</v>
      </c>
      <c r="O33" s="149">
        <f>Q33*S33</f>
        <v>89.88</v>
      </c>
      <c r="P33" s="429">
        <v>90</v>
      </c>
      <c r="Q33" s="135">
        <v>2.1</v>
      </c>
      <c r="R33" s="429">
        <v>71</v>
      </c>
      <c r="S33" s="135">
        <v>42.8</v>
      </c>
      <c r="T33" s="429">
        <v>71</v>
      </c>
      <c r="U33" s="135">
        <f t="shared" si="26"/>
        <v>0.1056964842011571</v>
      </c>
      <c r="V33" s="428">
        <v>90</v>
      </c>
      <c r="W33" s="136">
        <f t="shared" si="5"/>
        <v>58.441765887077707</v>
      </c>
      <c r="X33" s="137">
        <f t="shared" si="10"/>
        <v>4.2278593680462837</v>
      </c>
      <c r="Y33" s="138">
        <f t="shared" si="6"/>
        <v>1.8173962656272413</v>
      </c>
      <c r="Z33" s="138">
        <f t="shared" si="7"/>
        <v>0.18173962656272413</v>
      </c>
      <c r="AA33" s="150" t="s">
        <v>657</v>
      </c>
      <c r="AB33" s="140" t="str">
        <f>VLOOKUP(C33,$B$399:$C$431,2,FALSE)</f>
        <v>メーカー公表値</v>
      </c>
      <c r="AC33" s="140" t="str">
        <f>VLOOKUP(L33,$B$399:$C$431,2,FALSE)</f>
        <v>メーカー公表値</v>
      </c>
      <c r="AD33" s="140" t="str">
        <f>VLOOKUP(P33,$B$399:$C$431,2,FALSE)</f>
        <v>計算値</v>
      </c>
      <c r="AE33" s="103" t="s">
        <v>432</v>
      </c>
    </row>
    <row r="34" spans="1:32" ht="14.2" customHeight="1" x14ac:dyDescent="0.25">
      <c r="A34" s="449" t="s">
        <v>225</v>
      </c>
      <c r="B34" s="145">
        <v>0.04</v>
      </c>
      <c r="C34" s="364">
        <v>71</v>
      </c>
      <c r="D34" s="130">
        <v>8.6199999999999992E-3</v>
      </c>
      <c r="E34" s="387">
        <v>71</v>
      </c>
      <c r="F34" s="131">
        <f t="shared" si="29"/>
        <v>17.964242623670067</v>
      </c>
      <c r="G34" s="384">
        <v>90</v>
      </c>
      <c r="H34" s="132">
        <v>100</v>
      </c>
      <c r="I34" s="129">
        <f t="shared" ref="I34:I36" si="30">H34/B34/1000</f>
        <v>2.5</v>
      </c>
      <c r="J34" s="364">
        <v>90</v>
      </c>
      <c r="K34" s="130">
        <f>D34*H34/1000</f>
        <v>8.6199999999999992E-4</v>
      </c>
      <c r="L34" s="382">
        <v>90</v>
      </c>
      <c r="M34" s="133">
        <f t="shared" ref="M34:M39" si="31">F34*H34/1000</f>
        <v>1.7964242623670068</v>
      </c>
      <c r="N34" s="383">
        <v>90</v>
      </c>
      <c r="O34" s="134">
        <v>18</v>
      </c>
      <c r="P34" s="428">
        <v>54</v>
      </c>
      <c r="Q34" s="135">
        <v>0.96</v>
      </c>
      <c r="R34" s="428">
        <v>54</v>
      </c>
      <c r="S34" s="135">
        <v>20</v>
      </c>
      <c r="T34" s="428">
        <v>54</v>
      </c>
      <c r="U34" s="135">
        <f t="shared" si="26"/>
        <v>0.55555555555555558</v>
      </c>
      <c r="V34" s="428">
        <v>90</v>
      </c>
      <c r="W34" s="136">
        <f t="shared" si="5"/>
        <v>26.832815729997478</v>
      </c>
      <c r="X34" s="137">
        <f t="shared" si="10"/>
        <v>22.222222222222221</v>
      </c>
      <c r="Y34" s="138">
        <f t="shared" si="6"/>
        <v>1.6942731232764885</v>
      </c>
      <c r="Z34" s="138">
        <f t="shared" si="7"/>
        <v>0.16942731232764885</v>
      </c>
      <c r="AA34" s="144" t="s">
        <v>658</v>
      </c>
      <c r="AB34" s="140" t="str">
        <f>VLOOKUP(C34,$B$399:$C$431,2,FALSE)</f>
        <v>メーカー公表値</v>
      </c>
      <c r="AC34" s="140" t="str">
        <f>VLOOKUP(E34,$B$399:$C$431,2,FALSE)</f>
        <v>メーカー公表値</v>
      </c>
      <c r="AD34" s="140" t="str">
        <f>VLOOKUP(P34,$B$399:$C$431,2,FALSE)</f>
        <v>「健康なすまいへの道」建築資料研究社</v>
      </c>
    </row>
    <row r="35" spans="1:32" ht="14.2" customHeight="1" x14ac:dyDescent="0.25">
      <c r="A35" s="128" t="s">
        <v>226</v>
      </c>
      <c r="B35" s="145">
        <v>4.3999999999999997E-2</v>
      </c>
      <c r="C35" s="364">
        <v>71</v>
      </c>
      <c r="D35" s="130">
        <v>7.4599999999999996E-3</v>
      </c>
      <c r="E35" s="387">
        <v>71</v>
      </c>
      <c r="F35" s="131">
        <f t="shared" si="29"/>
        <v>15.546780739278272</v>
      </c>
      <c r="G35" s="384">
        <v>90</v>
      </c>
      <c r="H35" s="132">
        <v>100</v>
      </c>
      <c r="I35" s="129">
        <f t="shared" si="30"/>
        <v>2.2727272727272729</v>
      </c>
      <c r="J35" s="364">
        <v>90</v>
      </c>
      <c r="K35" s="130">
        <f t="shared" ref="K35:K39" si="32">D35*H35/1000</f>
        <v>7.4600000000000003E-4</v>
      </c>
      <c r="L35" s="382">
        <v>90</v>
      </c>
      <c r="M35" s="133">
        <f t="shared" si="31"/>
        <v>1.5546780739278272</v>
      </c>
      <c r="N35" s="383">
        <v>90</v>
      </c>
      <c r="O35" s="134">
        <v>18</v>
      </c>
      <c r="P35" s="428">
        <v>54</v>
      </c>
      <c r="Q35" s="135">
        <v>0.96</v>
      </c>
      <c r="R35" s="428">
        <v>54</v>
      </c>
      <c r="S35" s="135">
        <v>20</v>
      </c>
      <c r="T35" s="428">
        <v>54</v>
      </c>
      <c r="U35" s="135">
        <f t="shared" si="26"/>
        <v>0.61111111111111116</v>
      </c>
      <c r="V35" s="428">
        <v>90</v>
      </c>
      <c r="W35" s="136">
        <f t="shared" si="5"/>
        <v>28.142494558940577</v>
      </c>
      <c r="X35" s="137">
        <f t="shared" si="10"/>
        <v>24.444444444444443</v>
      </c>
      <c r="Y35" s="138">
        <f t="shared" si="6"/>
        <v>1.4662734918378892</v>
      </c>
      <c r="Z35" s="138">
        <f t="shared" si="7"/>
        <v>0.14662734918378892</v>
      </c>
      <c r="AA35" s="144" t="s">
        <v>658</v>
      </c>
      <c r="AB35" s="140" t="str">
        <f>VLOOKUP(C35,$B$399:$C$431,2,FALSE)</f>
        <v>メーカー公表値</v>
      </c>
      <c r="AC35" s="140" t="str">
        <f>VLOOKUP(E35,$B$399:$C$431,2,FALSE)</f>
        <v>メーカー公表値</v>
      </c>
      <c r="AD35" s="140" t="str">
        <f>VLOOKUP(P35,$B$399:$C$431,2,FALSE)</f>
        <v>「健康なすまいへの道」建築資料研究社</v>
      </c>
    </row>
    <row r="36" spans="1:32" ht="14.2" customHeight="1" x14ac:dyDescent="0.25">
      <c r="A36" s="450" t="s">
        <v>433</v>
      </c>
      <c r="B36" s="152">
        <v>4.4999999999999998E-2</v>
      </c>
      <c r="C36" s="398">
        <v>71</v>
      </c>
      <c r="D36" s="130">
        <v>1.15E-2</v>
      </c>
      <c r="E36" s="387">
        <v>71</v>
      </c>
      <c r="F36" s="131">
        <f t="shared" si="29"/>
        <v>23.966216957332456</v>
      </c>
      <c r="G36" s="384">
        <v>90</v>
      </c>
      <c r="H36" s="132">
        <v>100</v>
      </c>
      <c r="I36" s="129">
        <f t="shared" si="30"/>
        <v>2.2222222222222223</v>
      </c>
      <c r="J36" s="364">
        <v>90</v>
      </c>
      <c r="K36" s="130">
        <f t="shared" si="32"/>
        <v>1.15E-3</v>
      </c>
      <c r="L36" s="382">
        <v>90</v>
      </c>
      <c r="M36" s="133">
        <f t="shared" si="31"/>
        <v>2.3966216957332458</v>
      </c>
      <c r="N36" s="383">
        <v>90</v>
      </c>
      <c r="O36" s="153">
        <f>Q36*S36</f>
        <v>0.88429999999999997</v>
      </c>
      <c r="P36" s="430">
        <v>90</v>
      </c>
      <c r="Q36" s="135">
        <f>0.37*0.239</f>
        <v>8.8429999999999995E-2</v>
      </c>
      <c r="R36" s="430">
        <v>71</v>
      </c>
      <c r="S36" s="135">
        <v>10</v>
      </c>
      <c r="T36" s="430">
        <v>71</v>
      </c>
      <c r="U36" s="135">
        <f t="shared" si="26"/>
        <v>12.72192694786837</v>
      </c>
      <c r="V36" s="428">
        <v>90</v>
      </c>
      <c r="W36" s="136">
        <f t="shared" si="5"/>
        <v>6.3082089375669854</v>
      </c>
      <c r="X36" s="137">
        <f t="shared" si="10"/>
        <v>508.8770779147348</v>
      </c>
      <c r="Y36" s="138">
        <f t="shared" si="6"/>
        <v>2.2603411737447354</v>
      </c>
      <c r="Z36" s="138">
        <f t="shared" si="7"/>
        <v>0.22603411737447354</v>
      </c>
      <c r="AA36" s="154" t="s">
        <v>659</v>
      </c>
      <c r="AB36" s="103" t="s">
        <v>439</v>
      </c>
      <c r="AC36" s="103" t="s">
        <v>438</v>
      </c>
      <c r="AD36" s="103" t="s">
        <v>440</v>
      </c>
      <c r="AE36" s="103" t="s">
        <v>437</v>
      </c>
    </row>
    <row r="37" spans="1:32" ht="14.2" customHeight="1" x14ac:dyDescent="0.25">
      <c r="A37" s="450" t="s">
        <v>434</v>
      </c>
      <c r="B37" s="152">
        <v>3.9E-2</v>
      </c>
      <c r="C37" s="398">
        <v>71</v>
      </c>
      <c r="D37" s="130">
        <v>1.15E-2</v>
      </c>
      <c r="E37" s="387">
        <v>71</v>
      </c>
      <c r="F37" s="131">
        <f t="shared" si="29"/>
        <v>23.966216957332456</v>
      </c>
      <c r="G37" s="384">
        <v>90</v>
      </c>
      <c r="H37" s="132">
        <v>100</v>
      </c>
      <c r="I37" s="129">
        <f t="shared" ref="I37:I43" si="33">H37/B37/1000</f>
        <v>2.5641025641025639</v>
      </c>
      <c r="J37" s="364">
        <v>90</v>
      </c>
      <c r="K37" s="130">
        <f t="shared" si="32"/>
        <v>1.15E-3</v>
      </c>
      <c r="L37" s="382">
        <v>90</v>
      </c>
      <c r="M37" s="133">
        <f t="shared" si="31"/>
        <v>2.3966216957332458</v>
      </c>
      <c r="N37" s="383">
        <v>90</v>
      </c>
      <c r="O37" s="153">
        <f t="shared" ref="O37:O39" si="34">Q37*S37</f>
        <v>1.1495899999999999</v>
      </c>
      <c r="P37" s="430">
        <v>90</v>
      </c>
      <c r="Q37" s="135">
        <f t="shared" ref="Q37:Q39" si="35">0.37*0.239</f>
        <v>8.8429999999999995E-2</v>
      </c>
      <c r="R37" s="430">
        <v>71</v>
      </c>
      <c r="S37" s="155">
        <v>13</v>
      </c>
      <c r="T37" s="430">
        <v>71</v>
      </c>
      <c r="U37" s="135">
        <f t="shared" si="26"/>
        <v>8.4812846319122492</v>
      </c>
      <c r="V37" s="428">
        <v>90</v>
      </c>
      <c r="W37" s="136">
        <f t="shared" si="5"/>
        <v>6.6958203380915169</v>
      </c>
      <c r="X37" s="137">
        <f t="shared" si="10"/>
        <v>339.25138527648994</v>
      </c>
      <c r="Y37" s="138">
        <f t="shared" si="6"/>
        <v>2.2603411737447354</v>
      </c>
      <c r="Z37" s="138">
        <f t="shared" si="7"/>
        <v>0.22603411737447354</v>
      </c>
      <c r="AA37" s="154" t="s">
        <v>659</v>
      </c>
      <c r="AB37" s="103" t="s">
        <v>439</v>
      </c>
      <c r="AC37" s="103" t="s">
        <v>438</v>
      </c>
      <c r="AD37" s="103" t="s">
        <v>440</v>
      </c>
      <c r="AE37" s="103" t="s">
        <v>437</v>
      </c>
    </row>
    <row r="38" spans="1:32" ht="14.2" customHeight="1" x14ac:dyDescent="0.25">
      <c r="A38" s="450" t="s">
        <v>435</v>
      </c>
      <c r="B38" s="152">
        <v>3.7999999999999999E-2</v>
      </c>
      <c r="C38" s="398">
        <v>71</v>
      </c>
      <c r="D38" s="130">
        <v>8.8000000000000005E-3</v>
      </c>
      <c r="E38" s="387">
        <v>71</v>
      </c>
      <c r="F38" s="131">
        <f t="shared" si="29"/>
        <v>18.339366019523968</v>
      </c>
      <c r="G38" s="384">
        <v>90</v>
      </c>
      <c r="H38" s="132">
        <v>100</v>
      </c>
      <c r="I38" s="129">
        <f t="shared" si="33"/>
        <v>2.6315789473684212</v>
      </c>
      <c r="J38" s="364">
        <v>90</v>
      </c>
      <c r="K38" s="130">
        <f t="shared" si="32"/>
        <v>8.8000000000000003E-4</v>
      </c>
      <c r="L38" s="382">
        <v>90</v>
      </c>
      <c r="M38" s="133">
        <f t="shared" si="31"/>
        <v>1.8339366019523968</v>
      </c>
      <c r="N38" s="383">
        <v>90</v>
      </c>
      <c r="O38" s="153">
        <f t="shared" si="34"/>
        <v>1.7685999999999999</v>
      </c>
      <c r="P38" s="430">
        <v>90</v>
      </c>
      <c r="Q38" s="135">
        <f t="shared" si="35"/>
        <v>8.8429999999999995E-2</v>
      </c>
      <c r="R38" s="430">
        <v>71</v>
      </c>
      <c r="S38" s="155">
        <v>20</v>
      </c>
      <c r="T38" s="430">
        <v>71</v>
      </c>
      <c r="U38" s="135">
        <f t="shared" si="26"/>
        <v>5.3714802668777573</v>
      </c>
      <c r="V38" s="428">
        <v>90</v>
      </c>
      <c r="W38" s="136">
        <f t="shared" si="5"/>
        <v>8.1979753598068346</v>
      </c>
      <c r="X38" s="137">
        <f t="shared" si="10"/>
        <v>214.85921067511026</v>
      </c>
      <c r="Y38" s="138">
        <f t="shared" si="6"/>
        <v>1.7296523764307541</v>
      </c>
      <c r="Z38" s="138">
        <f t="shared" si="7"/>
        <v>0.17296523764307542</v>
      </c>
      <c r="AA38" s="154" t="s">
        <v>659</v>
      </c>
      <c r="AB38" s="103" t="s">
        <v>439</v>
      </c>
      <c r="AC38" s="103" t="s">
        <v>438</v>
      </c>
      <c r="AD38" s="103" t="s">
        <v>440</v>
      </c>
      <c r="AE38" s="103" t="s">
        <v>437</v>
      </c>
    </row>
    <row r="39" spans="1:32" ht="14.2" customHeight="1" x14ac:dyDescent="0.25">
      <c r="A39" s="450" t="s">
        <v>436</v>
      </c>
      <c r="B39" s="152">
        <v>3.5000000000000003E-2</v>
      </c>
      <c r="C39" s="398">
        <v>71</v>
      </c>
      <c r="D39" s="130">
        <v>8.8000000000000005E-3</v>
      </c>
      <c r="E39" s="387">
        <v>71</v>
      </c>
      <c r="F39" s="131">
        <f t="shared" si="29"/>
        <v>18.339366019523968</v>
      </c>
      <c r="G39" s="384">
        <v>90</v>
      </c>
      <c r="H39" s="132">
        <v>100</v>
      </c>
      <c r="I39" s="129">
        <f t="shared" si="33"/>
        <v>2.8571428571428568</v>
      </c>
      <c r="J39" s="364">
        <v>90</v>
      </c>
      <c r="K39" s="130">
        <f t="shared" si="32"/>
        <v>8.8000000000000003E-4</v>
      </c>
      <c r="L39" s="382">
        <v>90</v>
      </c>
      <c r="M39" s="133">
        <f t="shared" si="31"/>
        <v>1.8339366019523968</v>
      </c>
      <c r="N39" s="383">
        <v>90</v>
      </c>
      <c r="O39" s="153">
        <f t="shared" si="34"/>
        <v>2.6528999999999998</v>
      </c>
      <c r="P39" s="430">
        <v>90</v>
      </c>
      <c r="Q39" s="135">
        <f t="shared" si="35"/>
        <v>8.8429999999999995E-2</v>
      </c>
      <c r="R39" s="430">
        <v>71</v>
      </c>
      <c r="S39" s="155">
        <v>30</v>
      </c>
      <c r="T39" s="430">
        <v>71</v>
      </c>
      <c r="U39" s="135">
        <f t="shared" si="26"/>
        <v>3.2982773568547632</v>
      </c>
      <c r="V39" s="428">
        <v>90</v>
      </c>
      <c r="W39" s="136">
        <f t="shared" si="5"/>
        <v>9.635948318665891</v>
      </c>
      <c r="X39" s="137">
        <f t="shared" si="10"/>
        <v>131.93109427419054</v>
      </c>
      <c r="Y39" s="138">
        <f t="shared" si="6"/>
        <v>1.7296523764307541</v>
      </c>
      <c r="Z39" s="138">
        <f t="shared" si="7"/>
        <v>0.17296523764307542</v>
      </c>
      <c r="AA39" s="154" t="s">
        <v>659</v>
      </c>
      <c r="AB39" s="103" t="s">
        <v>439</v>
      </c>
      <c r="AC39" s="103" t="s">
        <v>438</v>
      </c>
      <c r="AD39" s="103" t="s">
        <v>440</v>
      </c>
      <c r="AE39" s="103" t="s">
        <v>437</v>
      </c>
    </row>
    <row r="40" spans="1:32" ht="14.2" customHeight="1" x14ac:dyDescent="0.25">
      <c r="A40" s="450" t="s">
        <v>678</v>
      </c>
      <c r="B40" s="152">
        <v>4.4999999999999998E-2</v>
      </c>
      <c r="C40" s="398">
        <v>71</v>
      </c>
      <c r="D40" s="130"/>
      <c r="E40" s="387"/>
      <c r="F40" s="131"/>
      <c r="G40" s="384"/>
      <c r="H40" s="132">
        <v>100</v>
      </c>
      <c r="I40" s="129">
        <f t="shared" ref="I40:I42" si="36">H40/B40/1000</f>
        <v>2.2222222222222223</v>
      </c>
      <c r="J40" s="364">
        <v>90</v>
      </c>
      <c r="K40" s="130">
        <v>3.6999999999999998E-2</v>
      </c>
      <c r="L40" s="382">
        <v>71</v>
      </c>
      <c r="M40" s="133">
        <f>K40/(3600*10^-9/760*1.013*10^5)</f>
        <v>77.108698036634863</v>
      </c>
      <c r="N40" s="383">
        <v>90</v>
      </c>
      <c r="O40" s="153"/>
      <c r="P40" s="430"/>
      <c r="Q40" s="135"/>
      <c r="R40" s="430"/>
      <c r="S40" s="155">
        <v>10</v>
      </c>
      <c r="T40" s="430">
        <v>71</v>
      </c>
      <c r="U40" s="135"/>
      <c r="V40" s="428"/>
      <c r="W40" s="136"/>
      <c r="X40" s="137"/>
      <c r="Y40" s="138"/>
      <c r="Z40" s="138"/>
      <c r="AA40" s="154" t="s">
        <v>668</v>
      </c>
    </row>
    <row r="41" spans="1:32" ht="14.2" customHeight="1" x14ac:dyDescent="0.25">
      <c r="A41" s="450" t="s">
        <v>677</v>
      </c>
      <c r="B41" s="152">
        <v>3.7999999999999999E-2</v>
      </c>
      <c r="C41" s="398">
        <v>71</v>
      </c>
      <c r="D41" s="130"/>
      <c r="E41" s="387"/>
      <c r="F41" s="131"/>
      <c r="G41" s="384"/>
      <c r="H41" s="132">
        <v>100</v>
      </c>
      <c r="I41" s="129">
        <f t="shared" si="36"/>
        <v>2.6315789473684212</v>
      </c>
      <c r="J41" s="364">
        <v>90</v>
      </c>
      <c r="K41" s="130">
        <v>8.2000000000000003E-2</v>
      </c>
      <c r="L41" s="382">
        <v>71</v>
      </c>
      <c r="M41" s="133">
        <f>K41/(3600*10^-9/760*1.013*10^5)</f>
        <v>170.8895470001097</v>
      </c>
      <c r="N41" s="383">
        <v>90</v>
      </c>
      <c r="O41" s="153"/>
      <c r="P41" s="430"/>
      <c r="Q41" s="135"/>
      <c r="R41" s="430"/>
      <c r="S41" s="155">
        <v>16</v>
      </c>
      <c r="T41" s="430">
        <v>71</v>
      </c>
      <c r="U41" s="135"/>
      <c r="V41" s="428"/>
      <c r="W41" s="136"/>
      <c r="X41" s="137"/>
      <c r="Y41" s="138"/>
      <c r="Z41" s="138"/>
      <c r="AA41" s="154" t="s">
        <v>668</v>
      </c>
    </row>
    <row r="42" spans="1:32" ht="14.2" customHeight="1" x14ac:dyDescent="0.25">
      <c r="A42" s="450" t="s">
        <v>679</v>
      </c>
      <c r="B42" s="152">
        <v>3.5000000000000003E-2</v>
      </c>
      <c r="C42" s="398">
        <v>71</v>
      </c>
      <c r="D42" s="130"/>
      <c r="E42" s="387"/>
      <c r="F42" s="131"/>
      <c r="G42" s="384"/>
      <c r="H42" s="132">
        <v>100</v>
      </c>
      <c r="I42" s="129">
        <f t="shared" si="36"/>
        <v>2.8571428571428568</v>
      </c>
      <c r="J42" s="364">
        <v>90</v>
      </c>
      <c r="K42" s="130">
        <v>8.2000000000000003E-2</v>
      </c>
      <c r="L42" s="382">
        <v>71</v>
      </c>
      <c r="M42" s="133">
        <f>K42/(3600*10^-9/760*1.013*10^5)</f>
        <v>170.8895470001097</v>
      </c>
      <c r="N42" s="383">
        <v>90</v>
      </c>
      <c r="O42" s="153"/>
      <c r="P42" s="430"/>
      <c r="Q42" s="135"/>
      <c r="R42" s="430"/>
      <c r="S42" s="155">
        <v>24</v>
      </c>
      <c r="T42" s="430">
        <v>71</v>
      </c>
      <c r="U42" s="135"/>
      <c r="V42" s="428"/>
      <c r="W42" s="136"/>
      <c r="X42" s="137"/>
      <c r="Y42" s="138"/>
      <c r="Z42" s="138"/>
      <c r="AA42" s="154" t="s">
        <v>668</v>
      </c>
    </row>
    <row r="43" spans="1:32" ht="14.2" customHeight="1" thickBot="1" x14ac:dyDescent="0.3">
      <c r="A43" s="128" t="s">
        <v>46</v>
      </c>
      <c r="B43" s="145">
        <v>5.1999999999999998E-2</v>
      </c>
      <c r="C43" s="364">
        <v>31</v>
      </c>
      <c r="D43" s="130"/>
      <c r="E43" s="387"/>
      <c r="F43" s="131"/>
      <c r="G43" s="383"/>
      <c r="H43" s="132">
        <v>100</v>
      </c>
      <c r="I43" s="129">
        <f t="shared" si="33"/>
        <v>1.9230769230769231</v>
      </c>
      <c r="J43" s="364">
        <v>90</v>
      </c>
      <c r="K43" s="130">
        <f>M43*3600*10^-9/760*1.013*10^5</f>
        <v>1.6314631578947369E-2</v>
      </c>
      <c r="L43" s="382">
        <v>90</v>
      </c>
      <c r="M43" s="133">
        <v>34</v>
      </c>
      <c r="N43" s="383">
        <v>31</v>
      </c>
      <c r="O43" s="134">
        <v>8.4</v>
      </c>
      <c r="P43" s="428">
        <v>99</v>
      </c>
      <c r="Q43" s="135">
        <f t="shared" ref="Q43" si="37">O43/S43</f>
        <v>0.84000000000000008</v>
      </c>
      <c r="R43" s="428">
        <v>99</v>
      </c>
      <c r="S43" s="135">
        <v>10</v>
      </c>
      <c r="T43" s="428">
        <v>99</v>
      </c>
      <c r="U43" s="135">
        <f>((B43/O43)/($B$194/$O$194))*0.2</f>
        <v>1.5476190476190474</v>
      </c>
      <c r="V43" s="428">
        <v>90</v>
      </c>
      <c r="W43" s="136">
        <f t="shared" si="5"/>
        <v>20.899760764181011</v>
      </c>
      <c r="X43" s="137">
        <f t="shared" si="10"/>
        <v>61.904761904761898</v>
      </c>
      <c r="Y43" s="138">
        <f t="shared" si="6"/>
        <v>32.066637819452886</v>
      </c>
      <c r="Z43" s="138">
        <f t="shared" si="7"/>
        <v>3.2066637819452888</v>
      </c>
      <c r="AA43" s="141"/>
      <c r="AB43" s="140" t="str">
        <f>VLOOKUP(C43,$B$399:$C$431,2,FALSE)</f>
        <v>「結露防止ガイドブック」IBEC</v>
      </c>
      <c r="AC43" s="140" t="str">
        <f>VLOOKUP(N43,$B$399:$C$431,2,FALSE)</f>
        <v>「結露防止ガイドブック」IBEC</v>
      </c>
    </row>
    <row r="44" spans="1:32" ht="21" customHeight="1" thickTop="1" x14ac:dyDescent="0.25">
      <c r="A44" s="122" t="s">
        <v>369</v>
      </c>
      <c r="B44" s="123"/>
      <c r="C44" s="363"/>
      <c r="D44" s="124"/>
      <c r="E44" s="363"/>
      <c r="F44" s="123"/>
      <c r="G44" s="363"/>
      <c r="H44" s="123"/>
      <c r="I44" s="123"/>
      <c r="J44" s="363"/>
      <c r="K44" s="124"/>
      <c r="L44" s="363"/>
      <c r="M44" s="123"/>
      <c r="N44" s="363"/>
      <c r="O44" s="123"/>
      <c r="P44" s="363"/>
      <c r="Q44" s="123"/>
      <c r="R44" s="363"/>
      <c r="S44" s="123"/>
      <c r="T44" s="363"/>
      <c r="U44" s="123"/>
      <c r="V44" s="363"/>
      <c r="W44" s="125"/>
      <c r="X44" s="125"/>
      <c r="Y44" s="126"/>
      <c r="Z44" s="126"/>
      <c r="AA44" s="127"/>
    </row>
    <row r="45" spans="1:32" ht="14.2" customHeight="1" x14ac:dyDescent="0.25">
      <c r="A45" s="128" t="s">
        <v>609</v>
      </c>
      <c r="B45" s="145">
        <v>0.04</v>
      </c>
      <c r="C45" s="364">
        <v>10</v>
      </c>
      <c r="D45" s="130">
        <v>0.2</v>
      </c>
      <c r="E45" s="382">
        <v>11</v>
      </c>
      <c r="F45" s="131">
        <v>410</v>
      </c>
      <c r="G45" s="382">
        <v>11</v>
      </c>
      <c r="H45" s="132">
        <v>50</v>
      </c>
      <c r="I45" s="129">
        <f t="shared" ref="I45:I74" si="38">H45/B45/1000</f>
        <v>1.25</v>
      </c>
      <c r="J45" s="364">
        <v>90</v>
      </c>
      <c r="K45" s="130">
        <f t="shared" ref="K45:K74" si="39">D45*H45/1000</f>
        <v>0.01</v>
      </c>
      <c r="L45" s="382">
        <v>90</v>
      </c>
      <c r="M45" s="133">
        <f t="shared" ref="M45:M74" si="40">F45*H45/1000</f>
        <v>20.5</v>
      </c>
      <c r="N45" s="383">
        <v>90</v>
      </c>
      <c r="O45" s="134">
        <v>42</v>
      </c>
      <c r="P45" s="428">
        <v>62</v>
      </c>
      <c r="Q45" s="135">
        <f t="shared" ref="Q45:Q51" si="41">O45/S45</f>
        <v>2.1</v>
      </c>
      <c r="R45" s="428">
        <v>90</v>
      </c>
      <c r="S45" s="135">
        <v>20</v>
      </c>
      <c r="T45" s="428">
        <v>22</v>
      </c>
      <c r="U45" s="135">
        <f>((B45/O45)/($B$194/$O$194))*0.2</f>
        <v>0.23809523809523811</v>
      </c>
      <c r="V45" s="428">
        <v>90</v>
      </c>
      <c r="W45" s="136">
        <f t="shared" ref="W45:W98" si="42">SQRT(B45*O45*1000)</f>
        <v>40.987803063838392</v>
      </c>
      <c r="X45" s="137">
        <f t="shared" si="10"/>
        <v>9.5238095238095237</v>
      </c>
      <c r="Y45" s="138">
        <f t="shared" ref="Y45:Y98" si="43">K45/(H45/1000)*((2*10^-7*(20+273)^0.81/101325)*10^12)</f>
        <v>39.310281282517138</v>
      </c>
      <c r="Z45" s="138">
        <f t="shared" ref="Z45:Z98" si="44">Y45*(H45/1000)</f>
        <v>1.9655140641258571</v>
      </c>
      <c r="AA45" s="144"/>
      <c r="AB45" s="140" t="str">
        <f t="shared" ref="AB45:AB80" si="45">VLOOKUP(C45,$B$399:$C$431,2,FALSE)</f>
        <v>H28年建築物省エネルギー法</v>
      </c>
      <c r="AC45" s="103" t="s">
        <v>346</v>
      </c>
      <c r="AD45" s="140" t="str">
        <f>VLOOKUP(P45,$B$399:$C$431,2,FALSE)</f>
        <v>SolarDesigner6マニュアル</v>
      </c>
      <c r="AE45" s="103" t="s">
        <v>398</v>
      </c>
      <c r="AF45" s="103" t="s">
        <v>398</v>
      </c>
    </row>
    <row r="46" spans="1:32" ht="14.2" customHeight="1" x14ac:dyDescent="0.25">
      <c r="A46" s="128" t="s">
        <v>610</v>
      </c>
      <c r="B46" s="145">
        <v>3.4000000000000002E-2</v>
      </c>
      <c r="C46" s="364">
        <v>10</v>
      </c>
      <c r="D46" s="130">
        <v>0.28000000000000003</v>
      </c>
      <c r="E46" s="382">
        <v>11</v>
      </c>
      <c r="F46" s="131">
        <v>570</v>
      </c>
      <c r="G46" s="382">
        <v>11</v>
      </c>
      <c r="H46" s="132">
        <v>50</v>
      </c>
      <c r="I46" s="129">
        <f t="shared" si="38"/>
        <v>1.4705882352941175</v>
      </c>
      <c r="J46" s="364">
        <v>90</v>
      </c>
      <c r="K46" s="130">
        <f t="shared" si="39"/>
        <v>1.4000000000000002E-2</v>
      </c>
      <c r="L46" s="382">
        <v>90</v>
      </c>
      <c r="M46" s="133">
        <f t="shared" si="40"/>
        <v>28.5</v>
      </c>
      <c r="N46" s="383">
        <v>90</v>
      </c>
      <c r="O46" s="134">
        <v>42</v>
      </c>
      <c r="P46" s="428">
        <v>62</v>
      </c>
      <c r="Q46" s="135">
        <f t="shared" si="41"/>
        <v>2.1</v>
      </c>
      <c r="R46" s="428">
        <v>90</v>
      </c>
      <c r="S46" s="135">
        <v>20</v>
      </c>
      <c r="T46" s="428">
        <v>22</v>
      </c>
      <c r="U46" s="135">
        <f>((B46/O46)/($B$194/$O$194))*0.2</f>
        <v>0.20238095238095238</v>
      </c>
      <c r="V46" s="428">
        <v>90</v>
      </c>
      <c r="W46" s="136">
        <f t="shared" si="42"/>
        <v>37.78888725538237</v>
      </c>
      <c r="X46" s="137">
        <f t="shared" si="10"/>
        <v>8.0952380952380949</v>
      </c>
      <c r="Y46" s="138">
        <f t="shared" si="43"/>
        <v>55.034393795523997</v>
      </c>
      <c r="Z46" s="138">
        <f t="shared" si="44"/>
        <v>2.7517196897762002</v>
      </c>
      <c r="AA46" s="144"/>
      <c r="AB46" s="140" t="str">
        <f t="shared" si="45"/>
        <v>H28年建築物省エネルギー法</v>
      </c>
      <c r="AC46" s="103" t="s">
        <v>346</v>
      </c>
      <c r="AD46" s="140" t="str">
        <f>VLOOKUP(P46,$B$399:$C$431,2,FALSE)</f>
        <v>SolarDesigner6マニュアル</v>
      </c>
      <c r="AE46" s="103" t="s">
        <v>398</v>
      </c>
      <c r="AF46" s="103" t="s">
        <v>398</v>
      </c>
    </row>
    <row r="47" spans="1:32" ht="14.2" customHeight="1" x14ac:dyDescent="0.25">
      <c r="A47" s="128" t="s">
        <v>614</v>
      </c>
      <c r="B47" s="145">
        <v>2.8000000000000001E-2</v>
      </c>
      <c r="C47" s="364">
        <v>10</v>
      </c>
      <c r="D47" s="130">
        <v>0.28000000000000003</v>
      </c>
      <c r="E47" s="382">
        <v>11</v>
      </c>
      <c r="F47" s="131">
        <v>570</v>
      </c>
      <c r="G47" s="382">
        <v>11</v>
      </c>
      <c r="H47" s="132">
        <v>50</v>
      </c>
      <c r="I47" s="129">
        <f t="shared" si="38"/>
        <v>1.7857142857142858</v>
      </c>
      <c r="J47" s="364">
        <v>90</v>
      </c>
      <c r="K47" s="130">
        <f t="shared" si="39"/>
        <v>1.4000000000000002E-2</v>
      </c>
      <c r="L47" s="382">
        <v>90</v>
      </c>
      <c r="M47" s="133">
        <f t="shared" si="40"/>
        <v>28.5</v>
      </c>
      <c r="N47" s="383">
        <v>90</v>
      </c>
      <c r="O47" s="134">
        <v>60</v>
      </c>
      <c r="P47" s="428">
        <v>62</v>
      </c>
      <c r="Q47" s="135">
        <f t="shared" si="41"/>
        <v>3</v>
      </c>
      <c r="R47" s="428">
        <v>90</v>
      </c>
      <c r="S47" s="135">
        <v>20</v>
      </c>
      <c r="T47" s="428">
        <v>22</v>
      </c>
      <c r="U47" s="135">
        <f>((B47/O47)/($B$194/$O$194))*0.2</f>
        <v>0.11666666666666665</v>
      </c>
      <c r="V47" s="428">
        <v>90</v>
      </c>
      <c r="W47" s="136">
        <f t="shared" si="42"/>
        <v>40.987803063838392</v>
      </c>
      <c r="X47" s="137">
        <f t="shared" si="10"/>
        <v>4.666666666666667</v>
      </c>
      <c r="Y47" s="138">
        <f t="shared" si="43"/>
        <v>55.034393795523997</v>
      </c>
      <c r="Z47" s="138">
        <f t="shared" si="44"/>
        <v>2.7517196897762002</v>
      </c>
      <c r="AA47" s="144"/>
      <c r="AB47" s="140" t="str">
        <f t="shared" si="45"/>
        <v>H28年建築物省エネルギー法</v>
      </c>
      <c r="AC47" s="103" t="s">
        <v>346</v>
      </c>
      <c r="AD47" s="140" t="str">
        <f>VLOOKUP(P47,$B$399:$C$431,2,FALSE)</f>
        <v>SolarDesigner6マニュアル</v>
      </c>
      <c r="AE47" s="103" t="s">
        <v>398</v>
      </c>
      <c r="AF47" s="103" t="s">
        <v>398</v>
      </c>
    </row>
    <row r="48" spans="1:32" ht="14.2" customHeight="1" x14ac:dyDescent="0.25">
      <c r="A48" s="128" t="s">
        <v>615</v>
      </c>
      <c r="B48" s="145">
        <v>2.5999999999999999E-2</v>
      </c>
      <c r="C48" s="364">
        <v>10</v>
      </c>
      <c r="D48" s="130"/>
      <c r="E48" s="382"/>
      <c r="F48" s="131"/>
      <c r="G48" s="382"/>
      <c r="H48" s="132">
        <v>50</v>
      </c>
      <c r="I48" s="129">
        <f t="shared" ref="I48:I51" si="46">H48/B48/1000</f>
        <v>1.9230769230769231</v>
      </c>
      <c r="J48" s="364">
        <v>90</v>
      </c>
      <c r="K48" s="130"/>
      <c r="L48" s="382"/>
      <c r="M48" s="133"/>
      <c r="N48" s="383"/>
      <c r="O48" s="134"/>
      <c r="P48" s="428"/>
      <c r="Q48" s="135"/>
      <c r="R48" s="428"/>
      <c r="S48" s="135"/>
      <c r="T48" s="428"/>
      <c r="U48" s="135"/>
      <c r="V48" s="428"/>
      <c r="W48" s="136"/>
      <c r="X48" s="137"/>
      <c r="Y48" s="138"/>
      <c r="Z48" s="138"/>
      <c r="AA48" s="144"/>
      <c r="AB48" s="140" t="str">
        <f t="shared" si="45"/>
        <v>H28年建築物省エネルギー法</v>
      </c>
      <c r="AD48" s="140"/>
    </row>
    <row r="49" spans="1:32" ht="14.2" customHeight="1" x14ac:dyDescent="0.25">
      <c r="A49" s="128" t="s">
        <v>616</v>
      </c>
      <c r="B49" s="145">
        <v>2.4E-2</v>
      </c>
      <c r="C49" s="364">
        <v>10</v>
      </c>
      <c r="D49" s="130"/>
      <c r="E49" s="382"/>
      <c r="F49" s="131"/>
      <c r="G49" s="382"/>
      <c r="H49" s="132">
        <v>50</v>
      </c>
      <c r="I49" s="129">
        <f t="shared" si="46"/>
        <v>2.0833333333333335</v>
      </c>
      <c r="J49" s="364">
        <v>90</v>
      </c>
      <c r="K49" s="130"/>
      <c r="L49" s="382"/>
      <c r="M49" s="133"/>
      <c r="N49" s="383"/>
      <c r="O49" s="134"/>
      <c r="P49" s="428"/>
      <c r="Q49" s="135"/>
      <c r="R49" s="428"/>
      <c r="S49" s="135"/>
      <c r="T49" s="428"/>
      <c r="U49" s="135"/>
      <c r="V49" s="428"/>
      <c r="W49" s="136"/>
      <c r="X49" s="137"/>
      <c r="Y49" s="138"/>
      <c r="Z49" s="138"/>
      <c r="AA49" s="144"/>
      <c r="AB49" s="140" t="str">
        <f t="shared" si="45"/>
        <v>H28年建築物省エネルギー法</v>
      </c>
      <c r="AD49" s="140"/>
    </row>
    <row r="50" spans="1:32" ht="14.2" customHeight="1" x14ac:dyDescent="0.25">
      <c r="A50" s="128" t="s">
        <v>613</v>
      </c>
      <c r="B50" s="145">
        <v>2.1999999999999999E-2</v>
      </c>
      <c r="C50" s="364">
        <v>10</v>
      </c>
      <c r="D50" s="130">
        <f>K50/(H50/1000)</f>
        <v>0.137931034482</v>
      </c>
      <c r="E50" s="382">
        <v>90</v>
      </c>
      <c r="F50" s="131">
        <f t="shared" ref="F50" si="47">D50/(3600*10^-9/760*1.013*10^5)</f>
        <v>287.45087804738404</v>
      </c>
      <c r="G50" s="384">
        <v>90</v>
      </c>
      <c r="H50" s="132">
        <v>50</v>
      </c>
      <c r="I50" s="129">
        <f t="shared" si="46"/>
        <v>2.2727272727272729</v>
      </c>
      <c r="J50" s="364">
        <v>90</v>
      </c>
      <c r="K50" s="130">
        <v>6.8965517241000003E-3</v>
      </c>
      <c r="L50" s="382">
        <v>71</v>
      </c>
      <c r="M50" s="133">
        <f t="shared" ref="M50" si="48">F50*H50/1000</f>
        <v>14.372543902369202</v>
      </c>
      <c r="N50" s="383">
        <v>90</v>
      </c>
      <c r="O50" s="134"/>
      <c r="P50" s="428"/>
      <c r="Q50" s="135"/>
      <c r="R50" s="428"/>
      <c r="S50" s="135"/>
      <c r="T50" s="428"/>
      <c r="U50" s="135"/>
      <c r="V50" s="428"/>
      <c r="W50" s="136"/>
      <c r="X50" s="137"/>
      <c r="Y50" s="138"/>
      <c r="Z50" s="138"/>
      <c r="AA50" s="144"/>
      <c r="AB50" s="140" t="str">
        <f t="shared" si="45"/>
        <v>H28年建築物省エネルギー法</v>
      </c>
      <c r="AD50" s="140"/>
    </row>
    <row r="51" spans="1:32" ht="14.2" customHeight="1" x14ac:dyDescent="0.25">
      <c r="A51" s="128" t="s">
        <v>374</v>
      </c>
      <c r="B51" s="145">
        <v>3.4000000000000002E-2</v>
      </c>
      <c r="C51" s="364">
        <v>10</v>
      </c>
      <c r="D51" s="130">
        <v>0.73</v>
      </c>
      <c r="E51" s="382">
        <v>11</v>
      </c>
      <c r="F51" s="131">
        <v>1500</v>
      </c>
      <c r="G51" s="382">
        <v>11</v>
      </c>
      <c r="H51" s="132">
        <v>50</v>
      </c>
      <c r="I51" s="129">
        <f t="shared" si="46"/>
        <v>1.4705882352941175</v>
      </c>
      <c r="J51" s="364">
        <v>90</v>
      </c>
      <c r="K51" s="130">
        <f t="shared" si="39"/>
        <v>3.6499999999999998E-2</v>
      </c>
      <c r="L51" s="382">
        <v>90</v>
      </c>
      <c r="M51" s="133">
        <f t="shared" si="40"/>
        <v>75</v>
      </c>
      <c r="N51" s="383">
        <v>90</v>
      </c>
      <c r="O51" s="134">
        <v>42</v>
      </c>
      <c r="P51" s="428">
        <v>62</v>
      </c>
      <c r="Q51" s="135">
        <f t="shared" si="41"/>
        <v>2.1</v>
      </c>
      <c r="R51" s="428">
        <v>90</v>
      </c>
      <c r="S51" s="135">
        <v>20</v>
      </c>
      <c r="T51" s="428">
        <v>22</v>
      </c>
      <c r="U51" s="135">
        <f>((B51/O51)/($B$194/$O$194))*0.2</f>
        <v>0.20238095238095238</v>
      </c>
      <c r="V51" s="428">
        <v>90</v>
      </c>
      <c r="W51" s="136">
        <f t="shared" si="42"/>
        <v>37.78888725538237</v>
      </c>
      <c r="X51" s="137">
        <f t="shared" si="10"/>
        <v>8.0952380952380949</v>
      </c>
      <c r="Y51" s="138">
        <f t="shared" si="43"/>
        <v>143.48252668118752</v>
      </c>
      <c r="Z51" s="138">
        <f t="shared" si="44"/>
        <v>7.1741263340593768</v>
      </c>
      <c r="AA51" s="144"/>
      <c r="AB51" s="140" t="str">
        <f t="shared" si="45"/>
        <v>H28年建築物省エネルギー法</v>
      </c>
      <c r="AC51" s="103" t="s">
        <v>346</v>
      </c>
      <c r="AD51" s="140" t="str">
        <f>VLOOKUP(P51,$B$399:$C$431,2,FALSE)</f>
        <v>SolarDesigner6マニュアル</v>
      </c>
      <c r="AE51" s="103" t="s">
        <v>398</v>
      </c>
      <c r="AF51" s="103" t="s">
        <v>398</v>
      </c>
    </row>
    <row r="52" spans="1:32" ht="14.2" customHeight="1" x14ac:dyDescent="0.25">
      <c r="A52" s="128" t="s">
        <v>375</v>
      </c>
      <c r="B52" s="145">
        <v>2.8000000000000001E-2</v>
      </c>
      <c r="C52" s="364">
        <v>10</v>
      </c>
      <c r="D52" s="130">
        <v>0.73</v>
      </c>
      <c r="E52" s="382">
        <v>11</v>
      </c>
      <c r="F52" s="131">
        <v>1500</v>
      </c>
      <c r="G52" s="382">
        <v>11</v>
      </c>
      <c r="H52" s="132">
        <v>50</v>
      </c>
      <c r="I52" s="129">
        <f t="shared" si="38"/>
        <v>1.7857142857142858</v>
      </c>
      <c r="J52" s="364">
        <v>90</v>
      </c>
      <c r="K52" s="130">
        <f t="shared" si="39"/>
        <v>3.6499999999999998E-2</v>
      </c>
      <c r="L52" s="382">
        <v>90</v>
      </c>
      <c r="M52" s="133">
        <f t="shared" si="40"/>
        <v>75</v>
      </c>
      <c r="N52" s="383">
        <v>90</v>
      </c>
      <c r="O52" s="134">
        <v>60</v>
      </c>
      <c r="P52" s="428">
        <v>62</v>
      </c>
      <c r="Q52" s="135">
        <f t="shared" ref="Q52:Q78" si="49">O52/S52</f>
        <v>3</v>
      </c>
      <c r="R52" s="428">
        <v>90</v>
      </c>
      <c r="S52" s="135">
        <v>20</v>
      </c>
      <c r="T52" s="428">
        <v>22</v>
      </c>
      <c r="U52" s="135">
        <f>((B52/O52)/($B$194/$O$194))*0.2</f>
        <v>0.11666666666666665</v>
      </c>
      <c r="V52" s="428">
        <v>90</v>
      </c>
      <c r="W52" s="136">
        <f t="shared" si="42"/>
        <v>40.987803063838392</v>
      </c>
      <c r="X52" s="137">
        <f t="shared" si="10"/>
        <v>4.666666666666667</v>
      </c>
      <c r="Y52" s="138">
        <f t="shared" si="43"/>
        <v>143.48252668118752</v>
      </c>
      <c r="Z52" s="138">
        <f t="shared" si="44"/>
        <v>7.1741263340593768</v>
      </c>
      <c r="AA52" s="144"/>
      <c r="AB52" s="140" t="str">
        <f t="shared" si="45"/>
        <v>H28年建築物省エネルギー法</v>
      </c>
      <c r="AC52" s="103" t="s">
        <v>346</v>
      </c>
      <c r="AD52" s="140" t="str">
        <f>VLOOKUP(P52,$B$399:$C$431,2,FALSE)</f>
        <v>SolarDesigner6マニュアル</v>
      </c>
      <c r="AE52" s="103" t="s">
        <v>398</v>
      </c>
      <c r="AF52" s="103" t="s">
        <v>398</v>
      </c>
    </row>
    <row r="53" spans="1:32" ht="14.2" customHeight="1" x14ac:dyDescent="0.25">
      <c r="A53" s="128" t="s">
        <v>330</v>
      </c>
      <c r="B53" s="145">
        <v>4.2000000000000003E-2</v>
      </c>
      <c r="C53" s="364">
        <v>10</v>
      </c>
      <c r="D53" s="130">
        <v>0.73</v>
      </c>
      <c r="E53" s="382">
        <v>11</v>
      </c>
      <c r="F53" s="131">
        <v>1500</v>
      </c>
      <c r="G53" s="382">
        <v>11</v>
      </c>
      <c r="H53" s="132">
        <v>50</v>
      </c>
      <c r="I53" s="129">
        <f t="shared" si="38"/>
        <v>1.1904761904761905</v>
      </c>
      <c r="J53" s="364">
        <v>90</v>
      </c>
      <c r="K53" s="130">
        <f t="shared" si="39"/>
        <v>3.6499999999999998E-2</v>
      </c>
      <c r="L53" s="382">
        <v>90</v>
      </c>
      <c r="M53" s="133">
        <f t="shared" si="40"/>
        <v>75</v>
      </c>
      <c r="N53" s="383">
        <v>90</v>
      </c>
      <c r="O53" s="134"/>
      <c r="P53" s="428"/>
      <c r="Q53" s="135"/>
      <c r="R53" s="428"/>
      <c r="S53" s="135"/>
      <c r="T53" s="428"/>
      <c r="U53" s="135"/>
      <c r="V53" s="428"/>
      <c r="W53" s="136">
        <f t="shared" si="42"/>
        <v>0</v>
      </c>
      <c r="X53" s="137"/>
      <c r="Y53" s="138">
        <f t="shared" si="43"/>
        <v>143.48252668118752</v>
      </c>
      <c r="Z53" s="138">
        <f t="shared" si="44"/>
        <v>7.1741263340593768</v>
      </c>
      <c r="AA53" s="144"/>
      <c r="AB53" s="140" t="str">
        <f t="shared" si="45"/>
        <v>H28年建築物省エネルギー法</v>
      </c>
      <c r="AC53" s="103" t="s">
        <v>346</v>
      </c>
      <c r="AD53" s="140"/>
      <c r="AE53" s="103" t="s">
        <v>398</v>
      </c>
      <c r="AF53" s="103" t="s">
        <v>398</v>
      </c>
    </row>
    <row r="54" spans="1:32" ht="14.2" customHeight="1" x14ac:dyDescent="0.25">
      <c r="A54" s="128" t="s">
        <v>331</v>
      </c>
      <c r="B54" s="145">
        <v>3.7999999999999999E-2</v>
      </c>
      <c r="C54" s="364">
        <v>10</v>
      </c>
      <c r="D54" s="130">
        <v>1.3</v>
      </c>
      <c r="E54" s="382">
        <v>11</v>
      </c>
      <c r="F54" s="131">
        <v>2800</v>
      </c>
      <c r="G54" s="382">
        <v>11</v>
      </c>
      <c r="H54" s="132">
        <v>50</v>
      </c>
      <c r="I54" s="129">
        <f t="shared" si="38"/>
        <v>1.3157894736842106</v>
      </c>
      <c r="J54" s="364">
        <v>90</v>
      </c>
      <c r="K54" s="130">
        <f t="shared" si="39"/>
        <v>6.5000000000000002E-2</v>
      </c>
      <c r="L54" s="382">
        <v>90</v>
      </c>
      <c r="M54" s="133">
        <f t="shared" si="40"/>
        <v>140</v>
      </c>
      <c r="N54" s="383">
        <v>90</v>
      </c>
      <c r="O54" s="134"/>
      <c r="P54" s="428"/>
      <c r="Q54" s="135"/>
      <c r="R54" s="428"/>
      <c r="S54" s="135"/>
      <c r="T54" s="428"/>
      <c r="U54" s="135"/>
      <c r="V54" s="428"/>
      <c r="W54" s="136">
        <f t="shared" si="42"/>
        <v>0</v>
      </c>
      <c r="X54" s="137"/>
      <c r="Y54" s="138">
        <f t="shared" si="43"/>
        <v>255.51682833636141</v>
      </c>
      <c r="Z54" s="138">
        <f t="shared" si="44"/>
        <v>12.775841416818071</v>
      </c>
      <c r="AA54" s="144"/>
      <c r="AB54" s="140" t="str">
        <f t="shared" si="45"/>
        <v>H28年建築物省エネルギー法</v>
      </c>
      <c r="AC54" s="103" t="s">
        <v>346</v>
      </c>
      <c r="AD54" s="140"/>
      <c r="AE54" s="103" t="s">
        <v>398</v>
      </c>
      <c r="AF54" s="103" t="s">
        <v>398</v>
      </c>
    </row>
    <row r="55" spans="1:32" ht="14.2" customHeight="1" x14ac:dyDescent="0.25">
      <c r="A55" s="156" t="s">
        <v>332</v>
      </c>
      <c r="B55" s="152">
        <v>3.4000000000000002E-2</v>
      </c>
      <c r="C55" s="364">
        <v>10</v>
      </c>
      <c r="D55" s="130">
        <v>0.22</v>
      </c>
      <c r="E55" s="382">
        <v>11</v>
      </c>
      <c r="F55" s="146">
        <v>450</v>
      </c>
      <c r="G55" s="382">
        <v>11</v>
      </c>
      <c r="H55" s="132">
        <v>50</v>
      </c>
      <c r="I55" s="129">
        <f t="shared" si="38"/>
        <v>1.4705882352941175</v>
      </c>
      <c r="J55" s="364">
        <v>90</v>
      </c>
      <c r="K55" s="130">
        <f t="shared" si="39"/>
        <v>1.0999999999999999E-2</v>
      </c>
      <c r="L55" s="382">
        <v>90</v>
      </c>
      <c r="M55" s="133">
        <f t="shared" si="40"/>
        <v>22.5</v>
      </c>
      <c r="N55" s="383">
        <v>90</v>
      </c>
      <c r="O55" s="153">
        <v>33.906999999999996</v>
      </c>
      <c r="P55" s="430">
        <v>61</v>
      </c>
      <c r="Q55" s="135">
        <f t="shared" si="49"/>
        <v>1.2558148148148147</v>
      </c>
      <c r="R55" s="428">
        <v>90</v>
      </c>
      <c r="S55" s="155">
        <v>27</v>
      </c>
      <c r="T55" s="430">
        <v>22</v>
      </c>
      <c r="U55" s="135">
        <f>((B55/O55)/($B$194/$O$194))*0.2</f>
        <v>0.25068569911817623</v>
      </c>
      <c r="V55" s="428">
        <v>90</v>
      </c>
      <c r="W55" s="136">
        <f t="shared" si="42"/>
        <v>33.953468158643233</v>
      </c>
      <c r="X55" s="137">
        <f t="shared" si="10"/>
        <v>10.02742796472705</v>
      </c>
      <c r="Y55" s="138">
        <f t="shared" si="43"/>
        <v>43.241309410768849</v>
      </c>
      <c r="Z55" s="138">
        <f t="shared" si="44"/>
        <v>2.1620654705384426</v>
      </c>
      <c r="AA55" s="154"/>
      <c r="AB55" s="140" t="str">
        <f t="shared" si="45"/>
        <v>H28年建築物省エネルギー法</v>
      </c>
      <c r="AC55" s="103" t="s">
        <v>346</v>
      </c>
      <c r="AD55" s="140" t="str">
        <f>VLOOKUP(P55,$B$399:$C$431,2,FALSE)</f>
        <v>smash マニュアル</v>
      </c>
      <c r="AE55" s="103" t="s">
        <v>398</v>
      </c>
      <c r="AF55" s="103" t="s">
        <v>398</v>
      </c>
    </row>
    <row r="56" spans="1:32" ht="14.2" customHeight="1" x14ac:dyDescent="0.25">
      <c r="A56" s="128" t="s">
        <v>333</v>
      </c>
      <c r="B56" s="145">
        <v>3.5999999999999997E-2</v>
      </c>
      <c r="C56" s="364">
        <v>10</v>
      </c>
      <c r="D56" s="130">
        <v>0.28000000000000003</v>
      </c>
      <c r="E56" s="382">
        <v>11</v>
      </c>
      <c r="F56" s="131">
        <v>570</v>
      </c>
      <c r="G56" s="382">
        <v>11</v>
      </c>
      <c r="H56" s="132">
        <v>50</v>
      </c>
      <c r="I56" s="129">
        <f t="shared" si="38"/>
        <v>1.3888888888888888</v>
      </c>
      <c r="J56" s="364">
        <v>90</v>
      </c>
      <c r="K56" s="130">
        <f t="shared" si="39"/>
        <v>1.4000000000000002E-2</v>
      </c>
      <c r="L56" s="382">
        <v>90</v>
      </c>
      <c r="M56" s="133">
        <f t="shared" si="40"/>
        <v>28.5</v>
      </c>
      <c r="N56" s="383">
        <v>90</v>
      </c>
      <c r="O56" s="134">
        <v>45</v>
      </c>
      <c r="P56" s="428">
        <v>62</v>
      </c>
      <c r="Q56" s="135">
        <f t="shared" si="49"/>
        <v>1.5</v>
      </c>
      <c r="R56" s="428">
        <v>90</v>
      </c>
      <c r="S56" s="135">
        <v>30</v>
      </c>
      <c r="T56" s="428">
        <v>22</v>
      </c>
      <c r="U56" s="135">
        <f>((B56/O56)/($B$194/$O$194))*0.2</f>
        <v>0.19999999999999998</v>
      </c>
      <c r="V56" s="428">
        <v>90</v>
      </c>
      <c r="W56" s="136">
        <f t="shared" si="42"/>
        <v>40.249223594996209</v>
      </c>
      <c r="X56" s="137">
        <f t="shared" si="10"/>
        <v>7.9999999999999991</v>
      </c>
      <c r="Y56" s="138">
        <f t="shared" si="43"/>
        <v>55.034393795523997</v>
      </c>
      <c r="Z56" s="138">
        <f t="shared" si="44"/>
        <v>2.7517196897762002</v>
      </c>
      <c r="AA56" s="144"/>
      <c r="AB56" s="140" t="str">
        <f t="shared" si="45"/>
        <v>H28年建築物省エネルギー法</v>
      </c>
      <c r="AC56" s="103" t="s">
        <v>346</v>
      </c>
      <c r="AD56" s="140" t="str">
        <f>VLOOKUP(P56,$B$399:$C$431,2,FALSE)</f>
        <v>SolarDesigner6マニュアル</v>
      </c>
      <c r="AE56" s="103" t="s">
        <v>398</v>
      </c>
      <c r="AF56" s="103" t="s">
        <v>398</v>
      </c>
    </row>
    <row r="57" spans="1:32" ht="14.2" customHeight="1" x14ac:dyDescent="0.25">
      <c r="A57" s="128" t="s">
        <v>334</v>
      </c>
      <c r="B57" s="145">
        <v>3.6999999999999998E-2</v>
      </c>
      <c r="C57" s="364">
        <v>10</v>
      </c>
      <c r="D57" s="130">
        <v>0.2</v>
      </c>
      <c r="E57" s="382">
        <v>11</v>
      </c>
      <c r="F57" s="131">
        <v>410</v>
      </c>
      <c r="G57" s="382">
        <v>11</v>
      </c>
      <c r="H57" s="132">
        <v>50</v>
      </c>
      <c r="I57" s="129">
        <f t="shared" si="38"/>
        <v>1.3513513513513515</v>
      </c>
      <c r="J57" s="364">
        <v>90</v>
      </c>
      <c r="K57" s="130">
        <f t="shared" si="39"/>
        <v>0.01</v>
      </c>
      <c r="L57" s="382">
        <v>90</v>
      </c>
      <c r="M57" s="133">
        <f t="shared" si="40"/>
        <v>20.5</v>
      </c>
      <c r="N57" s="383">
        <v>90</v>
      </c>
      <c r="O57" s="134">
        <v>37.5</v>
      </c>
      <c r="P57" s="428">
        <v>62</v>
      </c>
      <c r="Q57" s="135">
        <f t="shared" si="49"/>
        <v>1.5</v>
      </c>
      <c r="R57" s="428">
        <v>90</v>
      </c>
      <c r="S57" s="135">
        <v>25</v>
      </c>
      <c r="T57" s="428">
        <v>22</v>
      </c>
      <c r="U57" s="135">
        <f>((B57/O57)/($B$194/$O$194))*0.2</f>
        <v>0.2466666666666667</v>
      </c>
      <c r="V57" s="428">
        <v>90</v>
      </c>
      <c r="W57" s="136">
        <f t="shared" si="42"/>
        <v>37.249161064378349</v>
      </c>
      <c r="X57" s="137">
        <f t="shared" si="10"/>
        <v>9.8666666666666671</v>
      </c>
      <c r="Y57" s="138">
        <f t="shared" si="43"/>
        <v>39.310281282517138</v>
      </c>
      <c r="Z57" s="138">
        <f t="shared" si="44"/>
        <v>1.9655140641258571</v>
      </c>
      <c r="AA57" s="144"/>
      <c r="AB57" s="140" t="str">
        <f t="shared" si="45"/>
        <v>H28年建築物省エネルギー法</v>
      </c>
      <c r="AC57" s="103" t="s">
        <v>346</v>
      </c>
      <c r="AD57" s="140" t="str">
        <f>VLOOKUP(P57,$B$399:$C$431,2,FALSE)</f>
        <v>SolarDesigner6マニュアル</v>
      </c>
      <c r="AE57" s="103" t="s">
        <v>398</v>
      </c>
      <c r="AF57" s="103" t="s">
        <v>398</v>
      </c>
    </row>
    <row r="58" spans="1:32" ht="14.2" customHeight="1" x14ac:dyDescent="0.25">
      <c r="A58" s="128" t="s">
        <v>335</v>
      </c>
      <c r="B58" s="145">
        <v>0.04</v>
      </c>
      <c r="C58" s="364">
        <v>10</v>
      </c>
      <c r="D58" s="130">
        <v>0.16</v>
      </c>
      <c r="E58" s="382">
        <v>11</v>
      </c>
      <c r="F58" s="131">
        <v>330</v>
      </c>
      <c r="G58" s="382">
        <v>11</v>
      </c>
      <c r="H58" s="132">
        <v>50</v>
      </c>
      <c r="I58" s="129">
        <f t="shared" si="38"/>
        <v>1.25</v>
      </c>
      <c r="J58" s="364">
        <v>90</v>
      </c>
      <c r="K58" s="130">
        <f t="shared" si="39"/>
        <v>8.0000000000000002E-3</v>
      </c>
      <c r="L58" s="382">
        <v>90</v>
      </c>
      <c r="M58" s="133">
        <f t="shared" si="40"/>
        <v>16.5</v>
      </c>
      <c r="N58" s="383">
        <v>90</v>
      </c>
      <c r="O58" s="134">
        <v>30</v>
      </c>
      <c r="P58" s="428">
        <v>62</v>
      </c>
      <c r="Q58" s="135">
        <f t="shared" si="49"/>
        <v>1.5</v>
      </c>
      <c r="R58" s="428">
        <v>90</v>
      </c>
      <c r="S58" s="135">
        <v>20</v>
      </c>
      <c r="T58" s="428">
        <v>22</v>
      </c>
      <c r="U58" s="135">
        <f>((B58/O58)/($B$194/$O$194))*0.2</f>
        <v>0.33333333333333331</v>
      </c>
      <c r="V58" s="428">
        <v>90</v>
      </c>
      <c r="W58" s="136">
        <f t="shared" si="42"/>
        <v>34.641016151377549</v>
      </c>
      <c r="X58" s="137">
        <f t="shared" si="10"/>
        <v>13.333333333333332</v>
      </c>
      <c r="Y58" s="138">
        <f t="shared" si="43"/>
        <v>31.448225026013713</v>
      </c>
      <c r="Z58" s="138">
        <f t="shared" si="44"/>
        <v>1.5724112513006858</v>
      </c>
      <c r="AA58" s="144"/>
      <c r="AB58" s="140" t="str">
        <f t="shared" si="45"/>
        <v>H28年建築物省エネルギー法</v>
      </c>
      <c r="AC58" s="103" t="s">
        <v>346</v>
      </c>
      <c r="AD58" s="140" t="str">
        <f>VLOOKUP(P58,$B$399:$C$431,2,FALSE)</f>
        <v>SolarDesigner6マニュアル</v>
      </c>
      <c r="AE58" s="103" t="s">
        <v>398</v>
      </c>
      <c r="AF58" s="103" t="s">
        <v>398</v>
      </c>
    </row>
    <row r="59" spans="1:32" ht="14.2" customHeight="1" x14ac:dyDescent="0.25">
      <c r="A59" s="128" t="s">
        <v>336</v>
      </c>
      <c r="B59" s="145">
        <v>4.2999999999999997E-2</v>
      </c>
      <c r="C59" s="364">
        <v>10</v>
      </c>
      <c r="D59" s="130">
        <v>0.14000000000000001</v>
      </c>
      <c r="E59" s="382">
        <v>11</v>
      </c>
      <c r="F59" s="131">
        <v>290</v>
      </c>
      <c r="G59" s="382">
        <v>11</v>
      </c>
      <c r="H59" s="132">
        <v>50</v>
      </c>
      <c r="I59" s="129">
        <f t="shared" si="38"/>
        <v>1.1627906976744187</v>
      </c>
      <c r="J59" s="364">
        <v>90</v>
      </c>
      <c r="K59" s="130">
        <f t="shared" si="39"/>
        <v>7.000000000000001E-3</v>
      </c>
      <c r="L59" s="382">
        <v>90</v>
      </c>
      <c r="M59" s="133">
        <f t="shared" si="40"/>
        <v>14.5</v>
      </c>
      <c r="N59" s="383">
        <v>90</v>
      </c>
      <c r="O59" s="134">
        <v>24</v>
      </c>
      <c r="P59" s="428">
        <v>62</v>
      </c>
      <c r="Q59" s="135">
        <f t="shared" si="49"/>
        <v>1.6</v>
      </c>
      <c r="R59" s="428">
        <v>90</v>
      </c>
      <c r="S59" s="135">
        <v>15</v>
      </c>
      <c r="T59" s="428">
        <v>22</v>
      </c>
      <c r="U59" s="135">
        <f>((B59/O59)/($B$194/$O$194))*0.2</f>
        <v>0.44791666666666663</v>
      </c>
      <c r="V59" s="428">
        <v>90</v>
      </c>
      <c r="W59" s="136">
        <f t="shared" si="42"/>
        <v>32.12475680841802</v>
      </c>
      <c r="X59" s="137">
        <f t="shared" si="10"/>
        <v>17.916666666666664</v>
      </c>
      <c r="Y59" s="138">
        <f t="shared" si="43"/>
        <v>27.517196897761998</v>
      </c>
      <c r="Z59" s="138">
        <f t="shared" si="44"/>
        <v>1.3758598448881001</v>
      </c>
      <c r="AA59" s="144"/>
      <c r="AB59" s="140" t="str">
        <f t="shared" si="45"/>
        <v>H28年建築物省エネルギー法</v>
      </c>
      <c r="AC59" s="103" t="s">
        <v>346</v>
      </c>
      <c r="AD59" s="140" t="str">
        <f>VLOOKUP(P59,$B$399:$C$431,2,FALSE)</f>
        <v>SolarDesigner6マニュアル</v>
      </c>
      <c r="AE59" s="103" t="s">
        <v>398</v>
      </c>
      <c r="AF59" s="103" t="s">
        <v>398</v>
      </c>
    </row>
    <row r="60" spans="1:32" ht="14.2" customHeight="1" x14ac:dyDescent="0.25">
      <c r="A60" s="128" t="s">
        <v>617</v>
      </c>
      <c r="B60" s="145">
        <v>2.9000000000000001E-2</v>
      </c>
      <c r="C60" s="364">
        <v>10</v>
      </c>
      <c r="D60" s="130"/>
      <c r="E60" s="382"/>
      <c r="F60" s="131"/>
      <c r="G60" s="382"/>
      <c r="H60" s="132"/>
      <c r="I60" s="129"/>
      <c r="J60" s="364"/>
      <c r="K60" s="130"/>
      <c r="L60" s="382"/>
      <c r="M60" s="133"/>
      <c r="N60" s="383"/>
      <c r="O60" s="134"/>
      <c r="P60" s="428"/>
      <c r="Q60" s="135"/>
      <c r="R60" s="428"/>
      <c r="S60" s="135"/>
      <c r="T60" s="428"/>
      <c r="U60" s="135"/>
      <c r="V60" s="428"/>
      <c r="W60" s="136"/>
      <c r="X60" s="137"/>
      <c r="Y60" s="138"/>
      <c r="Z60" s="138"/>
      <c r="AA60" s="144"/>
      <c r="AB60" s="140" t="str">
        <f t="shared" si="45"/>
        <v>H28年建築物省エネルギー法</v>
      </c>
      <c r="AD60" s="140"/>
    </row>
    <row r="61" spans="1:32" ht="14.2" customHeight="1" x14ac:dyDescent="0.25">
      <c r="A61" s="128" t="s">
        <v>337</v>
      </c>
      <c r="B61" s="145">
        <v>2.3E-2</v>
      </c>
      <c r="C61" s="364">
        <v>10</v>
      </c>
      <c r="D61" s="130">
        <v>1</v>
      </c>
      <c r="E61" s="382">
        <v>11</v>
      </c>
      <c r="F61" s="131">
        <v>2100</v>
      </c>
      <c r="G61" s="382">
        <v>11</v>
      </c>
      <c r="H61" s="132">
        <v>50</v>
      </c>
      <c r="I61" s="129">
        <f t="shared" si="38"/>
        <v>2.1739130434782612</v>
      </c>
      <c r="J61" s="364">
        <v>90</v>
      </c>
      <c r="K61" s="130">
        <f t="shared" si="39"/>
        <v>0.05</v>
      </c>
      <c r="L61" s="382">
        <v>90</v>
      </c>
      <c r="M61" s="133">
        <f t="shared" si="40"/>
        <v>105</v>
      </c>
      <c r="N61" s="383">
        <v>90</v>
      </c>
      <c r="O61" s="134">
        <v>75</v>
      </c>
      <c r="P61" s="428">
        <v>62</v>
      </c>
      <c r="Q61" s="135">
        <f t="shared" si="49"/>
        <v>1.6666666666666667</v>
      </c>
      <c r="R61" s="428">
        <v>90</v>
      </c>
      <c r="S61" s="135">
        <v>45</v>
      </c>
      <c r="T61" s="428">
        <v>22</v>
      </c>
      <c r="U61" s="135">
        <f>((B61/O61)/($B$194/$O$194))*0.2</f>
        <v>7.6666666666666661E-2</v>
      </c>
      <c r="V61" s="428">
        <v>90</v>
      </c>
      <c r="W61" s="136">
        <f t="shared" si="42"/>
        <v>41.533119314590373</v>
      </c>
      <c r="X61" s="137">
        <f t="shared" si="10"/>
        <v>3.0666666666666669</v>
      </c>
      <c r="Y61" s="138">
        <f t="shared" si="43"/>
        <v>196.55140641258569</v>
      </c>
      <c r="Z61" s="138">
        <f t="shared" si="44"/>
        <v>9.8275703206292846</v>
      </c>
      <c r="AA61" s="144"/>
      <c r="AB61" s="140" t="str">
        <f t="shared" si="45"/>
        <v>H28年建築物省エネルギー法</v>
      </c>
      <c r="AC61" s="103" t="s">
        <v>346</v>
      </c>
      <c r="AD61" s="140" t="str">
        <f>VLOOKUP(P61,$B$399:$C$431,2,FALSE)</f>
        <v>SolarDesigner6マニュアル</v>
      </c>
      <c r="AE61" s="103" t="s">
        <v>398</v>
      </c>
      <c r="AF61" s="103" t="s">
        <v>398</v>
      </c>
    </row>
    <row r="62" spans="1:32" ht="14.2" customHeight="1" x14ac:dyDescent="0.25">
      <c r="A62" s="128" t="s">
        <v>338</v>
      </c>
      <c r="B62" s="145">
        <v>2.4E-2</v>
      </c>
      <c r="C62" s="364">
        <v>10</v>
      </c>
      <c r="D62" s="130">
        <v>1</v>
      </c>
      <c r="E62" s="382">
        <v>11</v>
      </c>
      <c r="F62" s="131">
        <v>2100</v>
      </c>
      <c r="G62" s="382">
        <v>11</v>
      </c>
      <c r="H62" s="132">
        <v>50</v>
      </c>
      <c r="I62" s="129">
        <f t="shared" si="38"/>
        <v>2.0833333333333335</v>
      </c>
      <c r="J62" s="364">
        <v>90</v>
      </c>
      <c r="K62" s="130">
        <f t="shared" si="39"/>
        <v>0.05</v>
      </c>
      <c r="L62" s="382">
        <v>90</v>
      </c>
      <c r="M62" s="133">
        <f t="shared" si="40"/>
        <v>105</v>
      </c>
      <c r="N62" s="383">
        <v>90</v>
      </c>
      <c r="O62" s="134">
        <v>75</v>
      </c>
      <c r="P62" s="428">
        <v>62</v>
      </c>
      <c r="Q62" s="135">
        <f t="shared" si="49"/>
        <v>2.1428571428571428</v>
      </c>
      <c r="R62" s="428">
        <v>90</v>
      </c>
      <c r="S62" s="135">
        <v>35</v>
      </c>
      <c r="T62" s="428">
        <v>22</v>
      </c>
      <c r="U62" s="135">
        <f>((B62/O62)/($B$194/$O$194))*0.2</f>
        <v>8.0000000000000016E-2</v>
      </c>
      <c r="V62" s="428">
        <v>90</v>
      </c>
      <c r="W62" s="136">
        <f t="shared" si="42"/>
        <v>42.426406871192853</v>
      </c>
      <c r="X62" s="137">
        <f t="shared" si="10"/>
        <v>3.2</v>
      </c>
      <c r="Y62" s="138">
        <f t="shared" si="43"/>
        <v>196.55140641258569</v>
      </c>
      <c r="Z62" s="138">
        <f t="shared" si="44"/>
        <v>9.8275703206292846</v>
      </c>
      <c r="AA62" s="144"/>
      <c r="AB62" s="140" t="str">
        <f t="shared" si="45"/>
        <v>H28年建築物省エネルギー法</v>
      </c>
      <c r="AC62" s="103" t="s">
        <v>346</v>
      </c>
      <c r="AD62" s="140" t="str">
        <f>VLOOKUP(P62,$B$399:$C$431,2,FALSE)</f>
        <v>SolarDesigner6マニュアル</v>
      </c>
      <c r="AE62" s="103" t="s">
        <v>398</v>
      </c>
      <c r="AF62" s="103" t="s">
        <v>398</v>
      </c>
    </row>
    <row r="63" spans="1:32" ht="14.2" customHeight="1" x14ac:dyDescent="0.25">
      <c r="A63" s="128" t="s">
        <v>623</v>
      </c>
      <c r="B63" s="145">
        <v>2.1999999999999999E-2</v>
      </c>
      <c r="C63" s="364">
        <v>10</v>
      </c>
      <c r="D63" s="157">
        <v>0.67</v>
      </c>
      <c r="E63" s="383">
        <v>21</v>
      </c>
      <c r="F63" s="131">
        <f t="shared" ref="F63" si="50">D63/(3600*10^-9/760*1.013*10^5)</f>
        <v>1396.2926401228476</v>
      </c>
      <c r="G63" s="384">
        <v>90</v>
      </c>
      <c r="H63" s="132">
        <v>50</v>
      </c>
      <c r="I63" s="129">
        <f>H63/B63/1000</f>
        <v>2.2727272727272729</v>
      </c>
      <c r="J63" s="364">
        <v>90</v>
      </c>
      <c r="K63" s="130">
        <f t="shared" ref="K63:K67" si="51">D63*H63/1000</f>
        <v>3.3500000000000002E-2</v>
      </c>
      <c r="L63" s="382">
        <v>90</v>
      </c>
      <c r="M63" s="133">
        <f t="shared" ref="M63:M67" si="52">F63*H63/1000</f>
        <v>69.814632006142375</v>
      </c>
      <c r="N63" s="383">
        <v>90</v>
      </c>
      <c r="O63" s="134">
        <v>37.673999999999999</v>
      </c>
      <c r="P63" s="428">
        <v>19</v>
      </c>
      <c r="Q63" s="135">
        <f>O63/S63</f>
        <v>0.83719999999999994</v>
      </c>
      <c r="R63" s="428">
        <v>90</v>
      </c>
      <c r="S63" s="135">
        <v>45</v>
      </c>
      <c r="T63" s="428">
        <v>22</v>
      </c>
      <c r="U63" s="135">
        <f>((B63/O63)/($B$194/$O$194))*0.2</f>
        <v>0.14598927642405904</v>
      </c>
      <c r="V63" s="428">
        <v>90</v>
      </c>
      <c r="W63" s="136">
        <f>SQRT(B63*O63*1000)</f>
        <v>28.789373039369924</v>
      </c>
      <c r="X63" s="137">
        <f>B63/O63*10000</f>
        <v>5.8395710569623613</v>
      </c>
      <c r="Y63" s="138">
        <f>K63/(H63/1000)*((2*10^-7*(20+273)^0.81/101325)*10^12)</f>
        <v>131.68944229643242</v>
      </c>
      <c r="Z63" s="138">
        <f>Y63*(H63/1000)</f>
        <v>6.5844721148216214</v>
      </c>
      <c r="AA63" s="144"/>
      <c r="AB63" s="140" t="str">
        <f t="shared" si="45"/>
        <v>H28年建築物省エネルギー法</v>
      </c>
      <c r="AC63" s="140" t="str">
        <f>VLOOKUP(E63,$B$399:$C$431,2,FALSE)</f>
        <v>「H25年省エネ基準解説」IBEC</v>
      </c>
      <c r="AD63" s="140"/>
    </row>
    <row r="64" spans="1:32" ht="14.2" customHeight="1" x14ac:dyDescent="0.25">
      <c r="A64" s="128" t="s">
        <v>624</v>
      </c>
      <c r="B64" s="145">
        <v>2.1000000000000001E-2</v>
      </c>
      <c r="C64" s="364">
        <v>10</v>
      </c>
      <c r="D64" s="130">
        <v>0.67</v>
      </c>
      <c r="E64" s="382">
        <v>11</v>
      </c>
      <c r="F64" s="158">
        <v>1400</v>
      </c>
      <c r="G64" s="382">
        <v>11</v>
      </c>
      <c r="H64" s="132">
        <v>50</v>
      </c>
      <c r="I64" s="129">
        <f t="shared" ref="I64:I67" si="53">H64/B64/1000</f>
        <v>2.3809523809523809</v>
      </c>
      <c r="J64" s="364">
        <v>90</v>
      </c>
      <c r="K64" s="130">
        <f t="shared" si="51"/>
        <v>3.3500000000000002E-2</v>
      </c>
      <c r="L64" s="382">
        <v>90</v>
      </c>
      <c r="M64" s="133">
        <f t="shared" si="52"/>
        <v>70</v>
      </c>
      <c r="N64" s="383">
        <v>90</v>
      </c>
      <c r="O64" s="134"/>
      <c r="P64" s="428"/>
      <c r="Q64" s="135"/>
      <c r="R64" s="428"/>
      <c r="S64" s="135"/>
      <c r="T64" s="428"/>
      <c r="U64" s="135"/>
      <c r="V64" s="428"/>
      <c r="W64" s="136"/>
      <c r="X64" s="137"/>
      <c r="Y64" s="138"/>
      <c r="Z64" s="138"/>
      <c r="AA64" s="144"/>
      <c r="AB64" s="140" t="str">
        <f t="shared" si="45"/>
        <v>H28年建築物省エネルギー法</v>
      </c>
      <c r="AC64" s="140"/>
      <c r="AD64" s="140"/>
    </row>
    <row r="65" spans="1:32" ht="14.2" customHeight="1" x14ac:dyDescent="0.25">
      <c r="A65" s="128" t="s">
        <v>625</v>
      </c>
      <c r="B65" s="145">
        <v>0.02</v>
      </c>
      <c r="C65" s="364">
        <v>10</v>
      </c>
      <c r="D65" s="130">
        <v>0.67</v>
      </c>
      <c r="E65" s="382">
        <v>11</v>
      </c>
      <c r="F65" s="158">
        <v>1400</v>
      </c>
      <c r="G65" s="382">
        <v>11</v>
      </c>
      <c r="H65" s="132">
        <v>50</v>
      </c>
      <c r="I65" s="129">
        <f t="shared" si="53"/>
        <v>2.5</v>
      </c>
      <c r="J65" s="364">
        <v>90</v>
      </c>
      <c r="K65" s="130">
        <f t="shared" si="51"/>
        <v>3.3500000000000002E-2</v>
      </c>
      <c r="L65" s="382">
        <v>90</v>
      </c>
      <c r="M65" s="133">
        <f t="shared" si="52"/>
        <v>70</v>
      </c>
      <c r="N65" s="383">
        <v>90</v>
      </c>
      <c r="O65" s="134"/>
      <c r="P65" s="428"/>
      <c r="Q65" s="135"/>
      <c r="R65" s="428"/>
      <c r="S65" s="135"/>
      <c r="T65" s="428"/>
      <c r="U65" s="135"/>
      <c r="V65" s="428"/>
      <c r="W65" s="136"/>
      <c r="X65" s="137"/>
      <c r="Y65" s="138"/>
      <c r="Z65" s="138"/>
      <c r="AA65" s="144"/>
      <c r="AB65" s="140" t="str">
        <f t="shared" si="45"/>
        <v>H28年建築物省エネルギー法</v>
      </c>
      <c r="AC65" s="140"/>
      <c r="AD65" s="140"/>
    </row>
    <row r="66" spans="1:32" ht="14.2" customHeight="1" x14ac:dyDescent="0.25">
      <c r="A66" s="128" t="s">
        <v>626</v>
      </c>
      <c r="B66" s="145">
        <v>1.9E-2</v>
      </c>
      <c r="C66" s="364">
        <v>10</v>
      </c>
      <c r="D66" s="130">
        <v>0.67</v>
      </c>
      <c r="E66" s="382">
        <v>11</v>
      </c>
      <c r="F66" s="158">
        <v>1400</v>
      </c>
      <c r="G66" s="382">
        <v>11</v>
      </c>
      <c r="H66" s="132">
        <v>50</v>
      </c>
      <c r="I66" s="129">
        <f t="shared" si="53"/>
        <v>2.6315789473684212</v>
      </c>
      <c r="J66" s="364">
        <v>90</v>
      </c>
      <c r="K66" s="130">
        <f t="shared" si="51"/>
        <v>3.3500000000000002E-2</v>
      </c>
      <c r="L66" s="382">
        <v>90</v>
      </c>
      <c r="M66" s="133">
        <f t="shared" si="52"/>
        <v>70</v>
      </c>
      <c r="N66" s="383">
        <v>90</v>
      </c>
      <c r="O66" s="134"/>
      <c r="P66" s="428"/>
      <c r="Q66" s="135"/>
      <c r="R66" s="428"/>
      <c r="S66" s="135"/>
      <c r="T66" s="428"/>
      <c r="U66" s="135"/>
      <c r="V66" s="428"/>
      <c r="W66" s="136"/>
      <c r="X66" s="137"/>
      <c r="Y66" s="138"/>
      <c r="Z66" s="138"/>
      <c r="AA66" s="144"/>
      <c r="AB66" s="140" t="str">
        <f t="shared" si="45"/>
        <v>H28年建築物省エネルギー法</v>
      </c>
      <c r="AC66" s="140"/>
      <c r="AD66" s="140"/>
    </row>
    <row r="67" spans="1:32" ht="14.2" customHeight="1" x14ac:dyDescent="0.25">
      <c r="A67" s="128" t="s">
        <v>627</v>
      </c>
      <c r="B67" s="145">
        <v>1.7999999999999999E-2</v>
      </c>
      <c r="C67" s="364">
        <v>10</v>
      </c>
      <c r="D67" s="130">
        <v>0.67</v>
      </c>
      <c r="E67" s="382">
        <v>11</v>
      </c>
      <c r="F67" s="158">
        <v>1400</v>
      </c>
      <c r="G67" s="382">
        <v>11</v>
      </c>
      <c r="H67" s="132">
        <v>50</v>
      </c>
      <c r="I67" s="129">
        <f t="shared" si="53"/>
        <v>2.7777777777777777</v>
      </c>
      <c r="J67" s="364">
        <v>90</v>
      </c>
      <c r="K67" s="130">
        <f t="shared" si="51"/>
        <v>3.3500000000000002E-2</v>
      </c>
      <c r="L67" s="382">
        <v>90</v>
      </c>
      <c r="M67" s="133">
        <f t="shared" si="52"/>
        <v>70</v>
      </c>
      <c r="N67" s="383">
        <v>90</v>
      </c>
      <c r="O67" s="134"/>
      <c r="P67" s="428"/>
      <c r="Q67" s="135"/>
      <c r="R67" s="428"/>
      <c r="S67" s="135"/>
      <c r="T67" s="428"/>
      <c r="U67" s="135"/>
      <c r="V67" s="428"/>
      <c r="W67" s="136">
        <f>SQRT(B67*O67*1000)</f>
        <v>0</v>
      </c>
      <c r="X67" s="137"/>
      <c r="Y67" s="138">
        <f>K67/(H67/1000)*((2*10^-7*(20+273)^0.81/101325)*10^12)</f>
        <v>131.68944229643242</v>
      </c>
      <c r="Z67" s="138">
        <f>Y67*(H67/1000)</f>
        <v>6.5844721148216214</v>
      </c>
      <c r="AA67" s="144"/>
      <c r="AB67" s="140" t="str">
        <f t="shared" si="45"/>
        <v>H28年建築物省エネルギー法</v>
      </c>
      <c r="AC67" s="140"/>
      <c r="AD67" s="140"/>
    </row>
    <row r="68" spans="1:32" ht="14.2" customHeight="1" x14ac:dyDescent="0.25">
      <c r="A68" s="128" t="s">
        <v>619</v>
      </c>
      <c r="B68" s="145">
        <v>3.5999999999999997E-2</v>
      </c>
      <c r="C68" s="364">
        <v>10</v>
      </c>
      <c r="D68" s="130"/>
      <c r="E68" s="382"/>
      <c r="F68" s="158"/>
      <c r="G68" s="382"/>
      <c r="H68" s="132"/>
      <c r="I68" s="129"/>
      <c r="J68" s="364"/>
      <c r="K68" s="130"/>
      <c r="L68" s="382"/>
      <c r="M68" s="133"/>
      <c r="N68" s="383"/>
      <c r="O68" s="134"/>
      <c r="P68" s="428"/>
      <c r="Q68" s="135"/>
      <c r="R68" s="428"/>
      <c r="S68" s="135"/>
      <c r="T68" s="428"/>
      <c r="U68" s="135"/>
      <c r="V68" s="428"/>
      <c r="W68" s="136"/>
      <c r="X68" s="137"/>
      <c r="Y68" s="138"/>
      <c r="Z68" s="138"/>
      <c r="AA68" s="144"/>
      <c r="AB68" s="140" t="str">
        <f t="shared" si="45"/>
        <v>H28年建築物省エネルギー法</v>
      </c>
      <c r="AC68" s="140"/>
      <c r="AD68" s="140"/>
    </row>
    <row r="69" spans="1:32" ht="14.2" customHeight="1" x14ac:dyDescent="0.25">
      <c r="A69" s="128" t="s">
        <v>620</v>
      </c>
      <c r="B69" s="145">
        <v>3.4000000000000002E-2</v>
      </c>
      <c r="C69" s="364">
        <v>10</v>
      </c>
      <c r="D69" s="130"/>
      <c r="E69" s="382"/>
      <c r="F69" s="158"/>
      <c r="G69" s="382"/>
      <c r="H69" s="132"/>
      <c r="I69" s="129"/>
      <c r="J69" s="364"/>
      <c r="K69" s="130"/>
      <c r="L69" s="382"/>
      <c r="M69" s="133"/>
      <c r="N69" s="383"/>
      <c r="O69" s="134"/>
      <c r="P69" s="428"/>
      <c r="Q69" s="135"/>
      <c r="R69" s="428"/>
      <c r="S69" s="135"/>
      <c r="T69" s="428"/>
      <c r="U69" s="135"/>
      <c r="V69" s="428"/>
      <c r="W69" s="136"/>
      <c r="X69" s="137"/>
      <c r="Y69" s="138"/>
      <c r="Z69" s="138"/>
      <c r="AA69" s="144"/>
      <c r="AB69" s="140" t="str">
        <f t="shared" si="45"/>
        <v>H28年建築物省エネルギー法</v>
      </c>
      <c r="AC69" s="140"/>
      <c r="AD69" s="140"/>
    </row>
    <row r="70" spans="1:32" ht="14.2" customHeight="1" x14ac:dyDescent="0.25">
      <c r="A70" s="128" t="s">
        <v>621</v>
      </c>
      <c r="B70" s="145">
        <v>2.8000000000000001E-2</v>
      </c>
      <c r="C70" s="364">
        <v>10</v>
      </c>
      <c r="D70" s="130"/>
      <c r="E70" s="382"/>
      <c r="F70" s="158"/>
      <c r="G70" s="382"/>
      <c r="H70" s="132"/>
      <c r="I70" s="129"/>
      <c r="J70" s="364"/>
      <c r="K70" s="130"/>
      <c r="L70" s="382"/>
      <c r="M70" s="133"/>
      <c r="N70" s="383"/>
      <c r="O70" s="134"/>
      <c r="P70" s="428"/>
      <c r="Q70" s="135"/>
      <c r="R70" s="428"/>
      <c r="S70" s="135"/>
      <c r="T70" s="428"/>
      <c r="U70" s="135"/>
      <c r="V70" s="428"/>
      <c r="W70" s="136"/>
      <c r="X70" s="137"/>
      <c r="Y70" s="138"/>
      <c r="Z70" s="138"/>
      <c r="AA70" s="144"/>
      <c r="AB70" s="140" t="str">
        <f t="shared" si="45"/>
        <v>H28年建築物省エネルギー法</v>
      </c>
      <c r="AC70" s="140"/>
      <c r="AD70" s="140"/>
    </row>
    <row r="71" spans="1:32" ht="14.2" customHeight="1" x14ac:dyDescent="0.25">
      <c r="A71" s="128" t="s">
        <v>622</v>
      </c>
      <c r="B71" s="145">
        <v>3.5000000000000003E-2</v>
      </c>
      <c r="C71" s="364">
        <v>10</v>
      </c>
      <c r="D71" s="130"/>
      <c r="E71" s="382"/>
      <c r="F71" s="158"/>
      <c r="G71" s="382"/>
      <c r="H71" s="132"/>
      <c r="I71" s="129"/>
      <c r="J71" s="364"/>
      <c r="K71" s="130"/>
      <c r="L71" s="382"/>
      <c r="M71" s="133"/>
      <c r="N71" s="383"/>
      <c r="O71" s="134"/>
      <c r="P71" s="428"/>
      <c r="Q71" s="135"/>
      <c r="R71" s="428"/>
      <c r="S71" s="135"/>
      <c r="T71" s="428"/>
      <c r="U71" s="135"/>
      <c r="V71" s="428"/>
      <c r="W71" s="136"/>
      <c r="X71" s="137"/>
      <c r="Y71" s="138"/>
      <c r="Z71" s="138"/>
      <c r="AA71" s="144"/>
      <c r="AB71" s="140" t="str">
        <f t="shared" si="45"/>
        <v>H28年建築物省エネルギー法</v>
      </c>
      <c r="AC71" s="140"/>
      <c r="AD71" s="140"/>
    </row>
    <row r="72" spans="1:32" ht="14.2" customHeight="1" x14ac:dyDescent="0.25">
      <c r="A72" s="128" t="s">
        <v>339</v>
      </c>
      <c r="B72" s="145">
        <v>3.4000000000000002E-2</v>
      </c>
      <c r="C72" s="364">
        <v>10</v>
      </c>
      <c r="D72" s="130">
        <v>0.11</v>
      </c>
      <c r="E72" s="382">
        <v>11</v>
      </c>
      <c r="F72" s="131">
        <v>230</v>
      </c>
      <c r="G72" s="382">
        <v>11</v>
      </c>
      <c r="H72" s="132">
        <v>50</v>
      </c>
      <c r="I72" s="129">
        <f t="shared" si="38"/>
        <v>1.4705882352941175</v>
      </c>
      <c r="J72" s="364">
        <v>90</v>
      </c>
      <c r="K72" s="130">
        <f t="shared" si="39"/>
        <v>5.4999999999999997E-3</v>
      </c>
      <c r="L72" s="382">
        <v>90</v>
      </c>
      <c r="M72" s="133">
        <f t="shared" si="40"/>
        <v>11.5</v>
      </c>
      <c r="N72" s="383">
        <v>90</v>
      </c>
      <c r="O72" s="134">
        <v>75</v>
      </c>
      <c r="P72" s="428">
        <v>62</v>
      </c>
      <c r="Q72" s="135"/>
      <c r="R72" s="428"/>
      <c r="S72" s="135"/>
      <c r="T72" s="428"/>
      <c r="U72" s="135">
        <f>((B72/O72)/($B$194/$O$194))*0.2</f>
        <v>0.11333333333333334</v>
      </c>
      <c r="V72" s="428">
        <v>90</v>
      </c>
      <c r="W72" s="136">
        <f t="shared" si="42"/>
        <v>50.497524691810398</v>
      </c>
      <c r="X72" s="137">
        <f t="shared" si="10"/>
        <v>4.5333333333333332</v>
      </c>
      <c r="Y72" s="138">
        <f t="shared" si="43"/>
        <v>21.620654705384425</v>
      </c>
      <c r="Z72" s="138">
        <f t="shared" si="44"/>
        <v>1.0810327352692213</v>
      </c>
      <c r="AA72" s="144"/>
      <c r="AB72" s="140" t="str">
        <f t="shared" si="45"/>
        <v>H28年建築物省エネルギー法</v>
      </c>
      <c r="AC72" s="103" t="s">
        <v>346</v>
      </c>
      <c r="AD72" s="140" t="str">
        <f>VLOOKUP(P72,$B$399:$C$431,2,FALSE)</f>
        <v>SolarDesigner6マニュアル</v>
      </c>
      <c r="AE72" s="103" t="s">
        <v>397</v>
      </c>
      <c r="AF72" s="103" t="s">
        <v>397</v>
      </c>
    </row>
    <row r="73" spans="1:32" ht="14.2" customHeight="1" x14ac:dyDescent="0.25">
      <c r="A73" s="128" t="s">
        <v>618</v>
      </c>
      <c r="B73" s="145">
        <v>2.5999999999999999E-2</v>
      </c>
      <c r="C73" s="364">
        <v>10</v>
      </c>
      <c r="D73" s="130"/>
      <c r="E73" s="382"/>
      <c r="F73" s="131"/>
      <c r="G73" s="382"/>
      <c r="H73" s="132"/>
      <c r="I73" s="129"/>
      <c r="J73" s="364"/>
      <c r="K73" s="130"/>
      <c r="L73" s="382"/>
      <c r="M73" s="133"/>
      <c r="N73" s="383"/>
      <c r="O73" s="134"/>
      <c r="P73" s="428"/>
      <c r="Q73" s="135"/>
      <c r="R73" s="428"/>
      <c r="S73" s="135"/>
      <c r="T73" s="428"/>
      <c r="U73" s="135"/>
      <c r="V73" s="428"/>
      <c r="W73" s="136"/>
      <c r="X73" s="137"/>
      <c r="Y73" s="138"/>
      <c r="Z73" s="138"/>
      <c r="AA73" s="144"/>
      <c r="AB73" s="140" t="str">
        <f t="shared" si="45"/>
        <v>H28年建築物省エネルギー法</v>
      </c>
      <c r="AD73" s="140"/>
    </row>
    <row r="74" spans="1:32" ht="14.2" customHeight="1" x14ac:dyDescent="0.25">
      <c r="A74" s="128" t="s">
        <v>340</v>
      </c>
      <c r="B74" s="145">
        <v>0.04</v>
      </c>
      <c r="C74" s="364">
        <v>10</v>
      </c>
      <c r="D74" s="130">
        <v>3.15E-2</v>
      </c>
      <c r="E74" s="382">
        <v>11</v>
      </c>
      <c r="F74" s="131">
        <v>65.7</v>
      </c>
      <c r="G74" s="382">
        <v>11</v>
      </c>
      <c r="H74" s="132">
        <v>50</v>
      </c>
      <c r="I74" s="129">
        <f t="shared" si="38"/>
        <v>1.25</v>
      </c>
      <c r="J74" s="364">
        <v>90</v>
      </c>
      <c r="K74" s="130">
        <f t="shared" si="39"/>
        <v>1.575E-3</v>
      </c>
      <c r="L74" s="382">
        <v>90</v>
      </c>
      <c r="M74" s="133">
        <f t="shared" si="40"/>
        <v>3.2850000000000001</v>
      </c>
      <c r="N74" s="383">
        <v>90</v>
      </c>
      <c r="O74" s="134">
        <v>75</v>
      </c>
      <c r="P74" s="428">
        <v>62</v>
      </c>
      <c r="Q74" s="135"/>
      <c r="R74" s="428"/>
      <c r="S74" s="135"/>
      <c r="T74" s="428"/>
      <c r="U74" s="135">
        <f t="shared" ref="U74:U81" si="54">((B74/O74)/($B$194/$O$194))*0.2</f>
        <v>0.13333333333333333</v>
      </c>
      <c r="V74" s="428">
        <v>90</v>
      </c>
      <c r="W74" s="136">
        <f t="shared" si="42"/>
        <v>54.772255750516614</v>
      </c>
      <c r="X74" s="137">
        <f t="shared" si="10"/>
        <v>5.3333333333333339</v>
      </c>
      <c r="Y74" s="138">
        <f t="shared" si="43"/>
        <v>6.1913693019964491</v>
      </c>
      <c r="Z74" s="138">
        <f t="shared" si="44"/>
        <v>0.3095684650998225</v>
      </c>
      <c r="AA74" s="144"/>
      <c r="AB74" s="140" t="str">
        <f t="shared" si="45"/>
        <v>H28年建築物省エネルギー法</v>
      </c>
      <c r="AC74" s="103" t="s">
        <v>346</v>
      </c>
      <c r="AD74" s="140" t="str">
        <f t="shared" ref="AD74:AD80" si="55">VLOOKUP(P74,$B$399:$C$431,2,FALSE)</f>
        <v>SolarDesigner6マニュアル</v>
      </c>
      <c r="AE74" s="103" t="s">
        <v>397</v>
      </c>
      <c r="AF74" s="103" t="s">
        <v>397</v>
      </c>
    </row>
    <row r="75" spans="1:32" ht="14.2" customHeight="1" x14ac:dyDescent="0.25">
      <c r="A75" s="128" t="s">
        <v>107</v>
      </c>
      <c r="B75" s="145">
        <v>2.9000000000000001E-2</v>
      </c>
      <c r="C75" s="364">
        <v>21</v>
      </c>
      <c r="D75" s="130">
        <v>0.18</v>
      </c>
      <c r="E75" s="387">
        <v>21</v>
      </c>
      <c r="F75" s="131">
        <f t="shared" ref="F75:F76" si="56">D75/(3600*10^-9/760*1.013*10^5)</f>
        <v>375.12339585389935</v>
      </c>
      <c r="G75" s="384">
        <v>90</v>
      </c>
      <c r="H75" s="132">
        <v>50</v>
      </c>
      <c r="I75" s="129">
        <f t="shared" ref="I75:I80" si="57">H75/B75/1000</f>
        <v>1.7241379310344827</v>
      </c>
      <c r="J75" s="364">
        <v>90</v>
      </c>
      <c r="K75" s="130">
        <f t="shared" ref="K75:K76" si="58">D75*H75/1000</f>
        <v>8.9999999999999993E-3</v>
      </c>
      <c r="L75" s="382">
        <v>90</v>
      </c>
      <c r="M75" s="133">
        <f t="shared" ref="M75:M76" si="59">F75*H75/1000</f>
        <v>18.756169792694969</v>
      </c>
      <c r="N75" s="383">
        <v>90</v>
      </c>
      <c r="O75" s="134">
        <v>60</v>
      </c>
      <c r="P75" s="428">
        <v>62</v>
      </c>
      <c r="Q75" s="135">
        <f t="shared" si="49"/>
        <v>2.4</v>
      </c>
      <c r="R75" s="428">
        <v>90</v>
      </c>
      <c r="S75" s="135">
        <v>25</v>
      </c>
      <c r="T75" s="428">
        <v>22</v>
      </c>
      <c r="U75" s="135">
        <f t="shared" si="54"/>
        <v>0.12083333333333333</v>
      </c>
      <c r="V75" s="428">
        <v>90</v>
      </c>
      <c r="W75" s="136">
        <f t="shared" si="42"/>
        <v>41.71330722922842</v>
      </c>
      <c r="X75" s="137">
        <f t="shared" si="10"/>
        <v>4.833333333333333</v>
      </c>
      <c r="Y75" s="138">
        <f t="shared" si="43"/>
        <v>35.37925315426542</v>
      </c>
      <c r="Z75" s="138">
        <f t="shared" si="44"/>
        <v>1.7689626577132711</v>
      </c>
      <c r="AA75" s="144"/>
      <c r="AB75" s="140" t="str">
        <f t="shared" si="45"/>
        <v>「H25年省エネ基準解説」IBEC</v>
      </c>
      <c r="AC75" s="140" t="str">
        <f>VLOOKUP(E75,$B$399:$C$431,2,FALSE)</f>
        <v>「H25年省エネ基準解説」IBEC</v>
      </c>
      <c r="AD75" s="140" t="str">
        <f t="shared" si="55"/>
        <v>SolarDesigner6マニュアル</v>
      </c>
    </row>
    <row r="76" spans="1:32" ht="14.2" customHeight="1" x14ac:dyDescent="0.25">
      <c r="A76" s="128" t="s">
        <v>39</v>
      </c>
      <c r="B76" s="145">
        <v>2.7E-2</v>
      </c>
      <c r="C76" s="364">
        <v>21</v>
      </c>
      <c r="D76" s="130">
        <v>1</v>
      </c>
      <c r="E76" s="387">
        <v>21</v>
      </c>
      <c r="F76" s="131">
        <f t="shared" si="56"/>
        <v>2084.0188658549964</v>
      </c>
      <c r="G76" s="384">
        <v>90</v>
      </c>
      <c r="H76" s="132">
        <v>50</v>
      </c>
      <c r="I76" s="129">
        <f t="shared" si="57"/>
        <v>1.8518518518518519</v>
      </c>
      <c r="J76" s="364">
        <v>90</v>
      </c>
      <c r="K76" s="130">
        <f t="shared" si="58"/>
        <v>0.05</v>
      </c>
      <c r="L76" s="382">
        <v>90</v>
      </c>
      <c r="M76" s="133">
        <f t="shared" si="59"/>
        <v>104.20094329274983</v>
      </c>
      <c r="N76" s="383">
        <v>90</v>
      </c>
      <c r="O76" s="134">
        <v>60</v>
      </c>
      <c r="P76" s="428">
        <v>62</v>
      </c>
      <c r="Q76" s="135">
        <f t="shared" si="49"/>
        <v>2.4</v>
      </c>
      <c r="R76" s="428">
        <v>90</v>
      </c>
      <c r="S76" s="135">
        <v>25</v>
      </c>
      <c r="T76" s="428">
        <v>22</v>
      </c>
      <c r="U76" s="135">
        <f t="shared" si="54"/>
        <v>0.1125</v>
      </c>
      <c r="V76" s="428">
        <v>90</v>
      </c>
      <c r="W76" s="136">
        <f t="shared" si="42"/>
        <v>40.249223594996209</v>
      </c>
      <c r="X76" s="137">
        <f t="shared" si="10"/>
        <v>4.5</v>
      </c>
      <c r="Y76" s="138">
        <f t="shared" si="43"/>
        <v>196.55140641258569</v>
      </c>
      <c r="Z76" s="138">
        <f t="shared" si="44"/>
        <v>9.8275703206292846</v>
      </c>
      <c r="AA76" s="144"/>
      <c r="AB76" s="140" t="str">
        <f t="shared" si="45"/>
        <v>「H25年省エネ基準解説」IBEC</v>
      </c>
      <c r="AC76" s="140" t="str">
        <f>VLOOKUP(E76,$B$399:$C$431,2,FALSE)</f>
        <v>「H25年省エネ基準解説」IBEC</v>
      </c>
      <c r="AD76" s="140" t="str">
        <f t="shared" si="55"/>
        <v>SolarDesigner6マニュアル</v>
      </c>
    </row>
    <row r="77" spans="1:32" ht="14.2" customHeight="1" x14ac:dyDescent="0.25">
      <c r="A77" s="128" t="s">
        <v>299</v>
      </c>
      <c r="B77" s="145">
        <v>2.8000000000000001E-2</v>
      </c>
      <c r="C77" s="364">
        <v>21</v>
      </c>
      <c r="D77" s="130"/>
      <c r="E77" s="387"/>
      <c r="F77" s="131"/>
      <c r="G77" s="383"/>
      <c r="H77" s="132">
        <v>50</v>
      </c>
      <c r="I77" s="129">
        <f t="shared" si="57"/>
        <v>1.7857142857142858</v>
      </c>
      <c r="J77" s="364">
        <v>90</v>
      </c>
      <c r="K77" s="130"/>
      <c r="L77" s="382"/>
      <c r="M77" s="133"/>
      <c r="N77" s="383"/>
      <c r="O77" s="134">
        <v>60</v>
      </c>
      <c r="P77" s="428">
        <v>62</v>
      </c>
      <c r="Q77" s="135"/>
      <c r="R77" s="428"/>
      <c r="S77" s="135"/>
      <c r="T77" s="428"/>
      <c r="U77" s="135">
        <f t="shared" si="54"/>
        <v>0.11666666666666665</v>
      </c>
      <c r="V77" s="428">
        <v>90</v>
      </c>
      <c r="W77" s="136">
        <f t="shared" si="42"/>
        <v>40.987803063838392</v>
      </c>
      <c r="X77" s="137">
        <f t="shared" si="10"/>
        <v>4.666666666666667</v>
      </c>
      <c r="Y77" s="138">
        <f t="shared" si="43"/>
        <v>0</v>
      </c>
      <c r="Z77" s="138">
        <f t="shared" si="44"/>
        <v>0</v>
      </c>
      <c r="AA77" s="144"/>
      <c r="AB77" s="140" t="str">
        <f t="shared" si="45"/>
        <v>「H25年省エネ基準解説」IBEC</v>
      </c>
      <c r="AC77" s="140"/>
      <c r="AD77" s="140" t="str">
        <f t="shared" si="55"/>
        <v>SolarDesigner6マニュアル</v>
      </c>
    </row>
    <row r="78" spans="1:32" ht="14.2" customHeight="1" x14ac:dyDescent="0.25">
      <c r="A78" s="128" t="s">
        <v>108</v>
      </c>
      <c r="B78" s="145">
        <v>4.2000000000000003E-2</v>
      </c>
      <c r="C78" s="364">
        <v>21</v>
      </c>
      <c r="D78" s="130">
        <v>1</v>
      </c>
      <c r="E78" s="387">
        <v>21</v>
      </c>
      <c r="F78" s="131">
        <f t="shared" ref="F78" si="60">D78/(3600*10^-9/760*1.013*10^5)</f>
        <v>2084.0188658549964</v>
      </c>
      <c r="G78" s="384">
        <v>90</v>
      </c>
      <c r="H78" s="132">
        <v>50</v>
      </c>
      <c r="I78" s="129">
        <f t="shared" si="57"/>
        <v>1.1904761904761905</v>
      </c>
      <c r="J78" s="364">
        <v>90</v>
      </c>
      <c r="K78" s="130">
        <f t="shared" ref="K78" si="61">D78*H78/1000</f>
        <v>0.05</v>
      </c>
      <c r="L78" s="382">
        <v>90</v>
      </c>
      <c r="M78" s="133">
        <f t="shared" ref="M78" si="62">F78*H78/1000</f>
        <v>104.20094329274983</v>
      </c>
      <c r="N78" s="383">
        <v>90</v>
      </c>
      <c r="O78" s="134">
        <v>112</v>
      </c>
      <c r="P78" s="428">
        <v>62</v>
      </c>
      <c r="Q78" s="135">
        <f t="shared" si="49"/>
        <v>3.7333333333333334</v>
      </c>
      <c r="R78" s="428">
        <v>90</v>
      </c>
      <c r="S78" s="135">
        <v>30</v>
      </c>
      <c r="T78" s="428">
        <v>22</v>
      </c>
      <c r="U78" s="135">
        <f t="shared" si="54"/>
        <v>9.375E-2</v>
      </c>
      <c r="V78" s="428">
        <v>90</v>
      </c>
      <c r="W78" s="136">
        <f t="shared" si="42"/>
        <v>68.585712797928991</v>
      </c>
      <c r="X78" s="137">
        <f t="shared" si="10"/>
        <v>3.75</v>
      </c>
      <c r="Y78" s="138">
        <f t="shared" si="43"/>
        <v>196.55140641258569</v>
      </c>
      <c r="Z78" s="138">
        <f t="shared" si="44"/>
        <v>9.8275703206292846</v>
      </c>
      <c r="AA78" s="144"/>
      <c r="AB78" s="140" t="str">
        <f t="shared" si="45"/>
        <v>「H25年省エネ基準解説」IBEC</v>
      </c>
      <c r="AC78" s="140" t="str">
        <f>VLOOKUP(E78,$B$399:$C$431,2,FALSE)</f>
        <v>「H25年省エネ基準解説」IBEC</v>
      </c>
      <c r="AD78" s="140" t="str">
        <f t="shared" si="55"/>
        <v>SolarDesigner6マニュアル</v>
      </c>
    </row>
    <row r="79" spans="1:32" ht="14.2" customHeight="1" x14ac:dyDescent="0.25">
      <c r="A79" s="128" t="s">
        <v>109</v>
      </c>
      <c r="B79" s="145">
        <v>3.7999999999999999E-2</v>
      </c>
      <c r="C79" s="364">
        <v>21</v>
      </c>
      <c r="D79" s="130"/>
      <c r="E79" s="387"/>
      <c r="F79" s="131"/>
      <c r="G79" s="383"/>
      <c r="H79" s="132">
        <v>50</v>
      </c>
      <c r="I79" s="129">
        <f t="shared" si="57"/>
        <v>1.3157894736842106</v>
      </c>
      <c r="J79" s="364">
        <v>90</v>
      </c>
      <c r="K79" s="130"/>
      <c r="L79" s="382"/>
      <c r="M79" s="133"/>
      <c r="N79" s="383"/>
      <c r="O79" s="134">
        <v>112</v>
      </c>
      <c r="P79" s="428">
        <v>62</v>
      </c>
      <c r="Q79" s="135"/>
      <c r="R79" s="428"/>
      <c r="S79" s="135"/>
      <c r="T79" s="428"/>
      <c r="U79" s="135">
        <f t="shared" si="54"/>
        <v>8.4821428571428575E-2</v>
      </c>
      <c r="V79" s="428">
        <v>90</v>
      </c>
      <c r="W79" s="136">
        <f t="shared" si="42"/>
        <v>65.238025721200358</v>
      </c>
      <c r="X79" s="137">
        <f t="shared" si="10"/>
        <v>3.3928571428571428</v>
      </c>
      <c r="Y79" s="138">
        <f t="shared" si="43"/>
        <v>0</v>
      </c>
      <c r="Z79" s="138">
        <f t="shared" si="44"/>
        <v>0</v>
      </c>
      <c r="AA79" s="144"/>
      <c r="AB79" s="140" t="str">
        <f t="shared" si="45"/>
        <v>「H25年省エネ基準解説」IBEC</v>
      </c>
      <c r="AC79" s="140"/>
      <c r="AD79" s="140" t="str">
        <f t="shared" si="55"/>
        <v>SolarDesigner6マニュアル</v>
      </c>
    </row>
    <row r="80" spans="1:32" ht="14.2" customHeight="1" x14ac:dyDescent="0.25">
      <c r="A80" s="128" t="s">
        <v>110</v>
      </c>
      <c r="B80" s="145">
        <v>3.4000000000000002E-2</v>
      </c>
      <c r="C80" s="364">
        <v>21</v>
      </c>
      <c r="D80" s="130"/>
      <c r="E80" s="387"/>
      <c r="F80" s="131"/>
      <c r="G80" s="383"/>
      <c r="H80" s="132">
        <v>50</v>
      </c>
      <c r="I80" s="129">
        <f t="shared" si="57"/>
        <v>1.4705882352941175</v>
      </c>
      <c r="J80" s="364">
        <v>90</v>
      </c>
      <c r="K80" s="130"/>
      <c r="L80" s="382"/>
      <c r="M80" s="133"/>
      <c r="N80" s="383"/>
      <c r="O80" s="134">
        <v>112</v>
      </c>
      <c r="P80" s="428">
        <v>62</v>
      </c>
      <c r="Q80" s="135"/>
      <c r="R80" s="428"/>
      <c r="S80" s="135"/>
      <c r="T80" s="428"/>
      <c r="U80" s="135">
        <f t="shared" si="54"/>
        <v>7.5892857142857151E-2</v>
      </c>
      <c r="V80" s="428">
        <v>90</v>
      </c>
      <c r="W80" s="136">
        <f t="shared" si="42"/>
        <v>61.708994482166055</v>
      </c>
      <c r="X80" s="137">
        <f t="shared" si="10"/>
        <v>3.035714285714286</v>
      </c>
      <c r="Y80" s="138">
        <f t="shared" si="43"/>
        <v>0</v>
      </c>
      <c r="Z80" s="138">
        <f t="shared" si="44"/>
        <v>0</v>
      </c>
      <c r="AA80" s="144"/>
      <c r="AB80" s="140" t="str">
        <f t="shared" si="45"/>
        <v>「H25年省エネ基準解説」IBEC</v>
      </c>
      <c r="AC80" s="140"/>
      <c r="AD80" s="140" t="str">
        <f t="shared" si="55"/>
        <v>SolarDesigner6マニュアル</v>
      </c>
    </row>
    <row r="81" spans="1:30" ht="14.2" customHeight="1" x14ac:dyDescent="0.25">
      <c r="A81" s="128" t="s">
        <v>637</v>
      </c>
      <c r="B81" s="129">
        <v>4.3999999999999997E-2</v>
      </c>
      <c r="C81" s="364">
        <v>71</v>
      </c>
      <c r="D81" s="130">
        <f>1/67.1</f>
        <v>1.490312965722802E-2</v>
      </c>
      <c r="E81" s="387">
        <v>71</v>
      </c>
      <c r="F81" s="131">
        <f>D81/(3600*10^-9/760*1.013*10^5)</f>
        <v>31.058403365946297</v>
      </c>
      <c r="G81" s="384">
        <v>90</v>
      </c>
      <c r="H81" s="132">
        <v>60</v>
      </c>
      <c r="I81" s="129">
        <f t="shared" ref="I81" si="63">H81/B81/1000</f>
        <v>1.3636363636363638</v>
      </c>
      <c r="J81" s="364">
        <v>90</v>
      </c>
      <c r="K81" s="130">
        <f t="shared" ref="K81" si="64">D81*H81/1000</f>
        <v>8.9418777943368118E-4</v>
      </c>
      <c r="L81" s="382">
        <v>90</v>
      </c>
      <c r="M81" s="133">
        <f t="shared" ref="M81" si="65">F81*H81/1000</f>
        <v>1.863504201956778</v>
      </c>
      <c r="N81" s="383">
        <v>90</v>
      </c>
      <c r="O81" s="134">
        <f>Q81*S81</f>
        <v>378</v>
      </c>
      <c r="P81" s="428">
        <v>90</v>
      </c>
      <c r="Q81" s="135">
        <v>2.1</v>
      </c>
      <c r="R81" s="428">
        <v>71</v>
      </c>
      <c r="S81" s="135">
        <v>180</v>
      </c>
      <c r="T81" s="428">
        <v>71</v>
      </c>
      <c r="U81" s="135">
        <f t="shared" si="54"/>
        <v>2.9100529100529099E-2</v>
      </c>
      <c r="V81" s="428">
        <v>90</v>
      </c>
      <c r="W81" s="136">
        <f t="shared" si="42"/>
        <v>128.96511156122804</v>
      </c>
      <c r="X81" s="137">
        <f t="shared" si="10"/>
        <v>1.164021164021164</v>
      </c>
      <c r="Y81" s="138">
        <f t="shared" si="43"/>
        <v>2.9292310940772834</v>
      </c>
      <c r="Z81" s="138">
        <f t="shared" si="44"/>
        <v>0.17575386564463699</v>
      </c>
      <c r="AA81" s="144" t="s">
        <v>581</v>
      </c>
      <c r="AB81" s="140"/>
      <c r="AC81" s="140"/>
      <c r="AD81" s="140"/>
    </row>
    <row r="82" spans="1:30" ht="14.2" customHeight="1" x14ac:dyDescent="0.25">
      <c r="A82" s="128" t="s">
        <v>490</v>
      </c>
      <c r="B82" s="129">
        <v>4.3999999999999997E-2</v>
      </c>
      <c r="C82" s="364">
        <v>71</v>
      </c>
      <c r="D82" s="130">
        <v>8.77E-3</v>
      </c>
      <c r="E82" s="387">
        <v>71</v>
      </c>
      <c r="F82" s="131">
        <f>D82/(3600*10^-9/760*1.013*10^5)</f>
        <v>18.276845453548319</v>
      </c>
      <c r="G82" s="384">
        <v>90</v>
      </c>
      <c r="H82" s="132">
        <v>50</v>
      </c>
      <c r="I82" s="129">
        <f t="shared" ref="I82" si="66">H82/B82/1000</f>
        <v>1.1363636363636365</v>
      </c>
      <c r="J82" s="364">
        <v>90</v>
      </c>
      <c r="K82" s="130">
        <f t="shared" ref="K82" si="67">D82*H82/1000</f>
        <v>4.3849999999999998E-4</v>
      </c>
      <c r="L82" s="382">
        <v>90</v>
      </c>
      <c r="M82" s="133">
        <f t="shared" ref="M82" si="68">F82*H82/1000</f>
        <v>0.91384227267741591</v>
      </c>
      <c r="N82" s="383">
        <v>90</v>
      </c>
      <c r="O82" s="134">
        <v>320</v>
      </c>
      <c r="P82" s="428">
        <v>71</v>
      </c>
      <c r="Q82" s="135">
        <f>O82/S82</f>
        <v>1.3913043478260869</v>
      </c>
      <c r="R82" s="428">
        <v>90</v>
      </c>
      <c r="S82" s="135">
        <v>230</v>
      </c>
      <c r="T82" s="428">
        <v>71</v>
      </c>
      <c r="U82" s="135">
        <f>((B82/O82)/($B$194/$O$194))*0.2</f>
        <v>3.4374999999999996E-2</v>
      </c>
      <c r="V82" s="428">
        <v>90</v>
      </c>
      <c r="W82" s="136">
        <f t="shared" si="42"/>
        <v>118.65917579353059</v>
      </c>
      <c r="X82" s="137">
        <f t="shared" si="10"/>
        <v>1.3749999999999998</v>
      </c>
      <c r="Y82" s="138">
        <f t="shared" si="43"/>
        <v>1.7237558342383761</v>
      </c>
      <c r="Z82" s="138">
        <f t="shared" si="44"/>
        <v>8.6187791711918815E-2</v>
      </c>
      <c r="AA82" s="144" t="s">
        <v>503</v>
      </c>
      <c r="AB82" s="103" t="s">
        <v>505</v>
      </c>
      <c r="AC82" s="103" t="s">
        <v>504</v>
      </c>
      <c r="AD82" s="140" t="str">
        <f>VLOOKUP(P82,$B$399:$C$431,2,FALSE)</f>
        <v>メーカー公表値</v>
      </c>
    </row>
    <row r="83" spans="1:30" ht="14.2" customHeight="1" x14ac:dyDescent="0.25">
      <c r="A83" s="128" t="s">
        <v>506</v>
      </c>
      <c r="B83" s="129">
        <v>4.7E-2</v>
      </c>
      <c r="C83" s="364">
        <v>71</v>
      </c>
      <c r="D83" s="130">
        <v>2.5219999999999999E-2</v>
      </c>
      <c r="E83" s="387">
        <v>71</v>
      </c>
      <c r="F83" s="131">
        <f t="shared" ref="F83:F87" si="69">D83/(3600*10^-9/760*1.013*10^5)</f>
        <v>52.558955796863003</v>
      </c>
      <c r="G83" s="384">
        <v>90</v>
      </c>
      <c r="H83" s="132">
        <v>50</v>
      </c>
      <c r="I83" s="129">
        <f t="shared" ref="I83:I85" si="70">H83/B83/1000</f>
        <v>1.0638297872340425</v>
      </c>
      <c r="J83" s="364">
        <v>90</v>
      </c>
      <c r="K83" s="130">
        <f t="shared" ref="K83:K87" si="71">D83*H83/1000</f>
        <v>1.261E-3</v>
      </c>
      <c r="L83" s="382">
        <v>90</v>
      </c>
      <c r="M83" s="133">
        <f t="shared" ref="M83:M87" si="72">F83*H83/1000</f>
        <v>2.6279477898431503</v>
      </c>
      <c r="N83" s="383">
        <v>90</v>
      </c>
      <c r="O83" s="134">
        <f>Q83*S83</f>
        <v>504</v>
      </c>
      <c r="P83" s="428">
        <v>90</v>
      </c>
      <c r="Q83" s="135">
        <v>2.1</v>
      </c>
      <c r="R83" s="428">
        <v>71</v>
      </c>
      <c r="S83" s="135">
        <v>240</v>
      </c>
      <c r="T83" s="428">
        <v>71</v>
      </c>
      <c r="U83" s="135">
        <f>((B83/O83)/($B$194/$O$194))*0.2</f>
        <v>2.3313492063492064E-2</v>
      </c>
      <c r="V83" s="428">
        <v>90</v>
      </c>
      <c r="W83" s="136">
        <f t="shared" si="42"/>
        <v>153.90906406056791</v>
      </c>
      <c r="X83" s="137">
        <f t="shared" si="10"/>
        <v>0.93253968253968256</v>
      </c>
      <c r="Y83" s="138">
        <f t="shared" si="43"/>
        <v>4.9570264697254114</v>
      </c>
      <c r="Z83" s="138">
        <f t="shared" si="44"/>
        <v>0.24785132348627059</v>
      </c>
      <c r="AA83" s="144" t="s">
        <v>509</v>
      </c>
      <c r="AB83" s="140" t="str">
        <f>VLOOKUP(C83,$B$399:$C$431,2,FALSE)</f>
        <v>メーカー公表値</v>
      </c>
      <c r="AC83" s="140" t="str">
        <f t="shared" ref="AC83:AC92" si="73">VLOOKUP(E83,$B$399:$C$431,2,FALSE)</f>
        <v>メーカー公表値</v>
      </c>
      <c r="AD83" s="140" t="str">
        <f>VLOOKUP(P83,$B$399:$C$431,2,FALSE)</f>
        <v>計算値</v>
      </c>
    </row>
    <row r="84" spans="1:30" ht="14.2" customHeight="1" x14ac:dyDescent="0.25">
      <c r="A84" s="128" t="s">
        <v>507</v>
      </c>
      <c r="B84" s="129">
        <v>3.7999999999999999E-2</v>
      </c>
      <c r="C84" s="364">
        <v>71</v>
      </c>
      <c r="D84" s="130">
        <v>2.5219999999999999E-2</v>
      </c>
      <c r="E84" s="387">
        <v>71</v>
      </c>
      <c r="F84" s="131">
        <f t="shared" si="69"/>
        <v>52.558955796863003</v>
      </c>
      <c r="G84" s="384">
        <v>90</v>
      </c>
      <c r="H84" s="132">
        <v>50</v>
      </c>
      <c r="I84" s="129">
        <f t="shared" si="70"/>
        <v>1.3157894736842106</v>
      </c>
      <c r="J84" s="364">
        <v>90</v>
      </c>
      <c r="K84" s="130">
        <f t="shared" si="71"/>
        <v>1.261E-3</v>
      </c>
      <c r="L84" s="382">
        <v>90</v>
      </c>
      <c r="M84" s="133">
        <f t="shared" si="72"/>
        <v>2.6279477898431503</v>
      </c>
      <c r="N84" s="383">
        <v>90</v>
      </c>
      <c r="O84" s="134">
        <f t="shared" ref="O84:O85" si="74">Q84*S84</f>
        <v>294</v>
      </c>
      <c r="P84" s="428">
        <v>90</v>
      </c>
      <c r="Q84" s="135">
        <v>2.1</v>
      </c>
      <c r="R84" s="428">
        <v>71</v>
      </c>
      <c r="S84" s="135">
        <v>140</v>
      </c>
      <c r="T84" s="428">
        <v>71</v>
      </c>
      <c r="U84" s="135">
        <f>((B84/O84)/($B$194/$O$194))*0.2</f>
        <v>3.2312925170068028E-2</v>
      </c>
      <c r="V84" s="428">
        <v>90</v>
      </c>
      <c r="W84" s="136">
        <f t="shared" si="42"/>
        <v>105.69768209379049</v>
      </c>
      <c r="X84" s="137">
        <f t="shared" si="10"/>
        <v>1.2925170068027212</v>
      </c>
      <c r="Y84" s="138">
        <f t="shared" si="43"/>
        <v>4.9570264697254114</v>
      </c>
      <c r="Z84" s="138">
        <f t="shared" si="44"/>
        <v>0.24785132348627059</v>
      </c>
      <c r="AA84" s="144" t="s">
        <v>509</v>
      </c>
      <c r="AB84" s="140" t="str">
        <f>VLOOKUP(C84,$B$399:$C$431,2,FALSE)</f>
        <v>メーカー公表値</v>
      </c>
      <c r="AC84" s="140" t="str">
        <f t="shared" si="73"/>
        <v>メーカー公表値</v>
      </c>
      <c r="AD84" s="140" t="str">
        <f>VLOOKUP(P84,$B$399:$C$431,2,FALSE)</f>
        <v>計算値</v>
      </c>
    </row>
    <row r="85" spans="1:30" ht="14.2" customHeight="1" x14ac:dyDescent="0.25">
      <c r="A85" s="128" t="s">
        <v>508</v>
      </c>
      <c r="B85" s="129">
        <v>3.7999999999999999E-2</v>
      </c>
      <c r="C85" s="364">
        <v>71</v>
      </c>
      <c r="D85" s="130">
        <v>1.009E-2</v>
      </c>
      <c r="E85" s="387">
        <v>71</v>
      </c>
      <c r="F85" s="131">
        <f t="shared" si="69"/>
        <v>21.027750356476915</v>
      </c>
      <c r="G85" s="384">
        <v>90</v>
      </c>
      <c r="H85" s="132">
        <v>50</v>
      </c>
      <c r="I85" s="129">
        <f t="shared" si="70"/>
        <v>1.3157894736842106</v>
      </c>
      <c r="J85" s="364">
        <v>90</v>
      </c>
      <c r="K85" s="130">
        <f t="shared" si="71"/>
        <v>5.0449999999999996E-4</v>
      </c>
      <c r="L85" s="382">
        <v>90</v>
      </c>
      <c r="M85" s="133">
        <f t="shared" si="72"/>
        <v>1.0513875178238457</v>
      </c>
      <c r="N85" s="383">
        <v>90</v>
      </c>
      <c r="O85" s="134">
        <f t="shared" si="74"/>
        <v>115.5</v>
      </c>
      <c r="P85" s="428">
        <v>90</v>
      </c>
      <c r="Q85" s="135">
        <v>2.1</v>
      </c>
      <c r="R85" s="428">
        <v>71</v>
      </c>
      <c r="S85" s="135">
        <v>55</v>
      </c>
      <c r="T85" s="428">
        <v>71</v>
      </c>
      <c r="U85" s="135">
        <f>((B85/O85)/($B$194/$O$194))*0.2</f>
        <v>8.2251082251082241E-2</v>
      </c>
      <c r="V85" s="428">
        <v>90</v>
      </c>
      <c r="W85" s="136">
        <f t="shared" si="42"/>
        <v>66.249528300207544</v>
      </c>
      <c r="X85" s="137">
        <f t="shared" si="10"/>
        <v>3.2900432900432897</v>
      </c>
      <c r="Y85" s="138">
        <f t="shared" si="43"/>
        <v>1.9832036907029893</v>
      </c>
      <c r="Z85" s="138">
        <f t="shared" si="44"/>
        <v>9.9160184535149465E-2</v>
      </c>
      <c r="AA85" s="144" t="s">
        <v>509</v>
      </c>
      <c r="AB85" s="140" t="str">
        <f>VLOOKUP(C85,$B$399:$C$431,2,FALSE)</f>
        <v>メーカー公表値</v>
      </c>
      <c r="AC85" s="140" t="str">
        <f t="shared" si="73"/>
        <v>メーカー公表値</v>
      </c>
      <c r="AD85" s="140" t="str">
        <f>VLOOKUP(P85,$B$399:$C$431,2,FALSE)</f>
        <v>計算値</v>
      </c>
    </row>
    <row r="86" spans="1:30" ht="14.2" customHeight="1" x14ac:dyDescent="0.25">
      <c r="A86" s="128" t="s">
        <v>510</v>
      </c>
      <c r="B86" s="129">
        <v>3.4000000000000002E-2</v>
      </c>
      <c r="C86" s="364">
        <v>71</v>
      </c>
      <c r="D86" s="130">
        <v>0.216</v>
      </c>
      <c r="E86" s="387">
        <v>71</v>
      </c>
      <c r="F86" s="131">
        <f t="shared" si="69"/>
        <v>450.1480750246792</v>
      </c>
      <c r="G86" s="383">
        <v>90</v>
      </c>
      <c r="H86" s="132">
        <v>50</v>
      </c>
      <c r="I86" s="129">
        <f t="shared" ref="I86:I95" si="75">H86/B86/1000</f>
        <v>1.4705882352941175</v>
      </c>
      <c r="J86" s="364">
        <v>90</v>
      </c>
      <c r="K86" s="130">
        <f t="shared" si="71"/>
        <v>1.0800000000000001E-2</v>
      </c>
      <c r="L86" s="382">
        <v>71</v>
      </c>
      <c r="M86" s="133">
        <f t="shared" si="72"/>
        <v>22.507403751233959</v>
      </c>
      <c r="N86" s="383">
        <v>90</v>
      </c>
      <c r="O86" s="134"/>
      <c r="P86" s="428"/>
      <c r="Q86" s="135"/>
      <c r="R86" s="428"/>
      <c r="S86" s="135"/>
      <c r="T86" s="428"/>
      <c r="U86" s="135"/>
      <c r="V86" s="428"/>
      <c r="W86" s="136">
        <f t="shared" si="42"/>
        <v>0</v>
      </c>
      <c r="X86" s="137"/>
      <c r="Y86" s="138">
        <f t="shared" si="43"/>
        <v>42.45510378511851</v>
      </c>
      <c r="Z86" s="138">
        <f t="shared" si="44"/>
        <v>2.1227551892559258</v>
      </c>
      <c r="AA86" s="144" t="s">
        <v>511</v>
      </c>
      <c r="AB86" s="103" t="s">
        <v>502</v>
      </c>
      <c r="AC86" s="140" t="str">
        <f t="shared" si="73"/>
        <v>メーカー公表値</v>
      </c>
      <c r="AD86" s="140"/>
    </row>
    <row r="87" spans="1:30" ht="14.2" customHeight="1" x14ac:dyDescent="0.25">
      <c r="A87" s="128" t="s">
        <v>512</v>
      </c>
      <c r="B87" s="129">
        <v>2.8000000000000001E-2</v>
      </c>
      <c r="C87" s="364">
        <v>71</v>
      </c>
      <c r="D87" s="130">
        <v>0.32</v>
      </c>
      <c r="E87" s="387">
        <v>71</v>
      </c>
      <c r="F87" s="131">
        <f t="shared" si="69"/>
        <v>666.8860370735988</v>
      </c>
      <c r="G87" s="383">
        <v>90</v>
      </c>
      <c r="H87" s="132">
        <v>50</v>
      </c>
      <c r="I87" s="129">
        <f t="shared" si="75"/>
        <v>1.7857142857142858</v>
      </c>
      <c r="J87" s="364">
        <v>90</v>
      </c>
      <c r="K87" s="130">
        <f t="shared" si="71"/>
        <v>1.6E-2</v>
      </c>
      <c r="L87" s="382">
        <v>71</v>
      </c>
      <c r="M87" s="133">
        <f t="shared" si="72"/>
        <v>33.344301853679944</v>
      </c>
      <c r="N87" s="383">
        <v>90</v>
      </c>
      <c r="O87" s="134"/>
      <c r="P87" s="428"/>
      <c r="Q87" s="135">
        <v>1.1000000000000001</v>
      </c>
      <c r="R87" s="428">
        <v>71</v>
      </c>
      <c r="S87" s="135"/>
      <c r="T87" s="428"/>
      <c r="U87" s="135"/>
      <c r="V87" s="428"/>
      <c r="W87" s="136">
        <f t="shared" si="42"/>
        <v>0</v>
      </c>
      <c r="X87" s="137"/>
      <c r="Y87" s="138">
        <f t="shared" si="43"/>
        <v>62.896450052027426</v>
      </c>
      <c r="Z87" s="138">
        <f t="shared" si="44"/>
        <v>3.1448225026013716</v>
      </c>
      <c r="AA87" s="144" t="s">
        <v>676</v>
      </c>
      <c r="AB87" s="103" t="s">
        <v>502</v>
      </c>
      <c r="AC87" s="140" t="str">
        <f t="shared" si="73"/>
        <v>メーカー公表値</v>
      </c>
      <c r="AD87" s="140"/>
    </row>
    <row r="88" spans="1:30" ht="14.2" customHeight="1" x14ac:dyDescent="0.25">
      <c r="A88" s="128" t="s">
        <v>236</v>
      </c>
      <c r="B88" s="145">
        <v>0.02</v>
      </c>
      <c r="C88" s="364">
        <v>71</v>
      </c>
      <c r="D88" s="157">
        <v>0.96</v>
      </c>
      <c r="E88" s="383">
        <v>71</v>
      </c>
      <c r="F88" s="131">
        <v>1984.2956492571689</v>
      </c>
      <c r="G88" s="383">
        <v>71</v>
      </c>
      <c r="H88" s="132">
        <v>50</v>
      </c>
      <c r="I88" s="129">
        <f t="shared" si="75"/>
        <v>2.5</v>
      </c>
      <c r="J88" s="364">
        <v>90</v>
      </c>
      <c r="K88" s="130">
        <f t="shared" ref="K88" si="76">D88*H88/1000</f>
        <v>4.8000000000000001E-2</v>
      </c>
      <c r="L88" s="382">
        <v>90</v>
      </c>
      <c r="M88" s="133">
        <f t="shared" ref="M88" si="77">F88*H88/1000</f>
        <v>99.214782462858452</v>
      </c>
      <c r="N88" s="383">
        <v>90</v>
      </c>
      <c r="O88" s="134"/>
      <c r="P88" s="428"/>
      <c r="Q88" s="135"/>
      <c r="R88" s="428"/>
      <c r="S88" s="135">
        <v>27</v>
      </c>
      <c r="T88" s="428">
        <v>71</v>
      </c>
      <c r="U88" s="135">
        <f>((B88/O82)/($B$194/$O$194))*0.2</f>
        <v>1.5625E-2</v>
      </c>
      <c r="V88" s="428">
        <v>90</v>
      </c>
      <c r="W88" s="136">
        <f t="shared" si="42"/>
        <v>0</v>
      </c>
      <c r="X88" s="137"/>
      <c r="Y88" s="138">
        <f t="shared" si="43"/>
        <v>188.68935015608227</v>
      </c>
      <c r="Z88" s="138">
        <f t="shared" si="44"/>
        <v>9.4344675078041131</v>
      </c>
      <c r="AA88" s="144" t="s">
        <v>664</v>
      </c>
      <c r="AB88" s="103" t="s">
        <v>501</v>
      </c>
      <c r="AC88" s="140" t="str">
        <f t="shared" si="73"/>
        <v>メーカー公表値</v>
      </c>
      <c r="AD88" s="140"/>
    </row>
    <row r="89" spans="1:30" ht="14.2" customHeight="1" x14ac:dyDescent="0.25">
      <c r="A89" s="128" t="s">
        <v>663</v>
      </c>
      <c r="B89" s="145">
        <v>1.7999999999999999E-2</v>
      </c>
      <c r="C89" s="364">
        <v>71</v>
      </c>
      <c r="D89" s="157">
        <v>1.3333333329999999</v>
      </c>
      <c r="E89" s="383">
        <v>71</v>
      </c>
      <c r="F89" s="131">
        <f t="shared" ref="F89:F95" si="78">D89/0.000479842105263158</f>
        <v>2778.6918204453209</v>
      </c>
      <c r="G89" s="383">
        <v>90</v>
      </c>
      <c r="H89" s="132">
        <v>50</v>
      </c>
      <c r="I89" s="129">
        <f t="shared" si="75"/>
        <v>2.7777777777777777</v>
      </c>
      <c r="J89" s="364">
        <v>90</v>
      </c>
      <c r="K89" s="130">
        <f t="shared" ref="K89:K90" si="79">D89*H89/1000</f>
        <v>6.6666666649999998E-2</v>
      </c>
      <c r="L89" s="382">
        <v>90</v>
      </c>
      <c r="M89" s="133">
        <f t="shared" ref="M89" si="80">F89*H89/1000</f>
        <v>138.93459102226603</v>
      </c>
      <c r="N89" s="383">
        <v>90</v>
      </c>
      <c r="O89" s="134"/>
      <c r="P89" s="428"/>
      <c r="Q89" s="135"/>
      <c r="R89" s="428"/>
      <c r="S89" s="135">
        <v>30</v>
      </c>
      <c r="T89" s="428">
        <v>71</v>
      </c>
      <c r="U89" s="135"/>
      <c r="V89" s="428"/>
      <c r="W89" s="136">
        <f t="shared" si="42"/>
        <v>0</v>
      </c>
      <c r="X89" s="137"/>
      <c r="Y89" s="138"/>
      <c r="Z89" s="138"/>
      <c r="AA89" s="144" t="s">
        <v>664</v>
      </c>
      <c r="AC89" s="140" t="str">
        <f t="shared" si="73"/>
        <v>メーカー公表値</v>
      </c>
      <c r="AD89" s="140"/>
    </row>
    <row r="90" spans="1:30" ht="14.2" customHeight="1" x14ac:dyDescent="0.25">
      <c r="A90" s="128" t="s">
        <v>237</v>
      </c>
      <c r="B90" s="145">
        <v>1.9E-2</v>
      </c>
      <c r="C90" s="364">
        <v>71</v>
      </c>
      <c r="D90" s="157">
        <v>0.66666599999999998</v>
      </c>
      <c r="E90" s="383">
        <v>71</v>
      </c>
      <c r="F90" s="131">
        <f t="shared" si="78"/>
        <v>1389.3445212240865</v>
      </c>
      <c r="G90" s="383">
        <v>90</v>
      </c>
      <c r="H90" s="132">
        <v>50</v>
      </c>
      <c r="I90" s="129">
        <f t="shared" si="75"/>
        <v>2.6315789473684212</v>
      </c>
      <c r="J90" s="364">
        <v>90</v>
      </c>
      <c r="K90" s="130">
        <f t="shared" si="79"/>
        <v>3.3333300000000003E-2</v>
      </c>
      <c r="L90" s="382">
        <v>90</v>
      </c>
      <c r="M90" s="133">
        <f t="shared" ref="M90" si="81">F90*H90/1000</f>
        <v>69.467226061204329</v>
      </c>
      <c r="N90" s="383">
        <v>90</v>
      </c>
      <c r="O90" s="134">
        <v>43</v>
      </c>
      <c r="P90" s="428">
        <v>71</v>
      </c>
      <c r="Q90" s="135">
        <v>1.7</v>
      </c>
      <c r="R90" s="428">
        <v>71</v>
      </c>
      <c r="S90" s="135">
        <v>34</v>
      </c>
      <c r="T90" s="428">
        <v>71</v>
      </c>
      <c r="U90" s="135">
        <f>((B90/O90)/($B$194/$O$194))*0.2</f>
        <v>0.11046511627906977</v>
      </c>
      <c r="V90" s="428">
        <v>90</v>
      </c>
      <c r="W90" s="136">
        <f t="shared" si="42"/>
        <v>28.583211855912904</v>
      </c>
      <c r="X90" s="137">
        <f t="shared" ref="X90:X161" si="82">B90/O90*10000</f>
        <v>4.4186046511627906</v>
      </c>
      <c r="Y90" s="138">
        <f t="shared" si="43"/>
        <v>131.03413990745284</v>
      </c>
      <c r="Z90" s="138">
        <f t="shared" si="44"/>
        <v>6.5517069953726423</v>
      </c>
      <c r="AA90" s="144" t="s">
        <v>682</v>
      </c>
      <c r="AB90" s="140" t="str">
        <f>VLOOKUP(C90,$B$399:$C$431,2,FALSE)</f>
        <v>メーカー公表値</v>
      </c>
      <c r="AC90" s="140" t="str">
        <f t="shared" si="73"/>
        <v>メーカー公表値</v>
      </c>
      <c r="AD90" s="140" t="str">
        <f>VLOOKUP(P90,$B$399:$C$431,2,FALSE)</f>
        <v>メーカー公表値</v>
      </c>
    </row>
    <row r="91" spans="1:30" ht="13.5" customHeight="1" x14ac:dyDescent="0.25">
      <c r="A91" s="128" t="s">
        <v>302</v>
      </c>
      <c r="B91" s="145">
        <v>2.1000000000000001E-2</v>
      </c>
      <c r="C91" s="364">
        <v>71</v>
      </c>
      <c r="D91" s="157">
        <v>0.5</v>
      </c>
      <c r="E91" s="383">
        <v>71</v>
      </c>
      <c r="F91" s="131">
        <f t="shared" si="78"/>
        <v>1042.0094329274978</v>
      </c>
      <c r="G91" s="383">
        <v>90</v>
      </c>
      <c r="H91" s="132">
        <v>50</v>
      </c>
      <c r="I91" s="129">
        <f t="shared" si="75"/>
        <v>2.3809523809523809</v>
      </c>
      <c r="J91" s="364">
        <v>90</v>
      </c>
      <c r="K91" s="130">
        <f t="shared" ref="K91:K95" si="83">D91*H91/1000</f>
        <v>2.5000000000000001E-2</v>
      </c>
      <c r="L91" s="382">
        <v>90</v>
      </c>
      <c r="M91" s="133">
        <f t="shared" ref="M91:M95" si="84">F91*H91/1000</f>
        <v>52.100471646374885</v>
      </c>
      <c r="N91" s="383">
        <v>90</v>
      </c>
      <c r="O91" s="134"/>
      <c r="P91" s="428"/>
      <c r="Q91" s="135"/>
      <c r="R91" s="428"/>
      <c r="S91" s="135">
        <v>32</v>
      </c>
      <c r="T91" s="428">
        <v>71</v>
      </c>
      <c r="U91" s="135"/>
      <c r="V91" s="428"/>
      <c r="W91" s="136">
        <f t="shared" si="42"/>
        <v>0</v>
      </c>
      <c r="X91" s="137"/>
      <c r="Y91" s="138">
        <f t="shared" si="43"/>
        <v>98.275703206292846</v>
      </c>
      <c r="Z91" s="138">
        <f t="shared" si="44"/>
        <v>4.9137851603146423</v>
      </c>
      <c r="AA91" s="144" t="s">
        <v>513</v>
      </c>
      <c r="AB91" s="103" t="s">
        <v>502</v>
      </c>
      <c r="AC91" s="140" t="str">
        <f t="shared" si="73"/>
        <v>メーカー公表値</v>
      </c>
      <c r="AD91" s="140"/>
    </row>
    <row r="92" spans="1:30" ht="13.5" customHeight="1" x14ac:dyDescent="0.25">
      <c r="A92" s="128" t="s">
        <v>671</v>
      </c>
      <c r="B92" s="145">
        <v>3.5999999999999997E-2</v>
      </c>
      <c r="C92" s="364">
        <v>71</v>
      </c>
      <c r="D92" s="130">
        <v>3.15E-2</v>
      </c>
      <c r="E92" s="383">
        <v>99</v>
      </c>
      <c r="F92" s="131">
        <f t="shared" si="78"/>
        <v>65.64659427443236</v>
      </c>
      <c r="G92" s="383">
        <v>90</v>
      </c>
      <c r="H92" s="132">
        <v>100</v>
      </c>
      <c r="I92" s="129">
        <f t="shared" si="75"/>
        <v>2.7777777777777777</v>
      </c>
      <c r="J92" s="364">
        <v>90</v>
      </c>
      <c r="K92" s="130">
        <f t="shared" si="83"/>
        <v>3.15E-3</v>
      </c>
      <c r="L92" s="382">
        <v>90</v>
      </c>
      <c r="M92" s="133">
        <f t="shared" si="84"/>
        <v>6.5646594274432362</v>
      </c>
      <c r="N92" s="383">
        <v>90</v>
      </c>
      <c r="O92" s="134"/>
      <c r="P92" s="428"/>
      <c r="Q92" s="135"/>
      <c r="R92" s="428"/>
      <c r="S92" s="135"/>
      <c r="T92" s="428"/>
      <c r="U92" s="135"/>
      <c r="V92" s="428"/>
      <c r="W92" s="136">
        <f t="shared" si="42"/>
        <v>0</v>
      </c>
      <c r="X92" s="137"/>
      <c r="Y92" s="138">
        <f t="shared" si="43"/>
        <v>6.1913693019964491</v>
      </c>
      <c r="Z92" s="138">
        <f t="shared" si="44"/>
        <v>0.619136930199645</v>
      </c>
      <c r="AA92" s="144" t="s">
        <v>656</v>
      </c>
      <c r="AC92" s="140" t="str">
        <f t="shared" si="73"/>
        <v>推測値</v>
      </c>
      <c r="AD92" s="140"/>
    </row>
    <row r="93" spans="1:30" ht="13.5" customHeight="1" x14ac:dyDescent="0.25">
      <c r="A93" s="128" t="s">
        <v>672</v>
      </c>
      <c r="B93" s="145">
        <v>2.1000000000000001E-2</v>
      </c>
      <c r="C93" s="364">
        <v>71</v>
      </c>
      <c r="D93" s="157">
        <v>0.53191489000000003</v>
      </c>
      <c r="E93" s="383">
        <v>71</v>
      </c>
      <c r="F93" s="131">
        <f t="shared" si="78"/>
        <v>1108.5206657891847</v>
      </c>
      <c r="G93" s="383">
        <v>90</v>
      </c>
      <c r="H93" s="132">
        <v>100</v>
      </c>
      <c r="I93" s="129">
        <f t="shared" si="75"/>
        <v>4.7619047619047619</v>
      </c>
      <c r="J93" s="364">
        <v>90</v>
      </c>
      <c r="K93" s="130">
        <f t="shared" si="83"/>
        <v>5.3191489000000002E-2</v>
      </c>
      <c r="L93" s="382">
        <v>90</v>
      </c>
      <c r="M93" s="133">
        <f t="shared" si="84"/>
        <v>110.85206657891847</v>
      </c>
      <c r="N93" s="383">
        <v>90</v>
      </c>
      <c r="O93" s="134"/>
      <c r="P93" s="428"/>
      <c r="Q93" s="135"/>
      <c r="R93" s="428"/>
      <c r="S93" s="135"/>
      <c r="T93" s="428"/>
      <c r="U93" s="135"/>
      <c r="V93" s="428"/>
      <c r="W93" s="136">
        <f t="shared" si="42"/>
        <v>0</v>
      </c>
      <c r="X93" s="137"/>
      <c r="Y93" s="138">
        <f t="shared" si="43"/>
        <v>104.54861972129582</v>
      </c>
      <c r="Z93" s="138">
        <f t="shared" si="44"/>
        <v>10.454861972129583</v>
      </c>
      <c r="AA93" s="144" t="s">
        <v>655</v>
      </c>
      <c r="AC93" s="140"/>
      <c r="AD93" s="140"/>
    </row>
    <row r="94" spans="1:30" ht="13.5" customHeight="1" x14ac:dyDescent="0.25">
      <c r="A94" s="128" t="s">
        <v>670</v>
      </c>
      <c r="B94" s="145">
        <v>2.5999999999999999E-2</v>
      </c>
      <c r="C94" s="364">
        <v>71</v>
      </c>
      <c r="D94" s="157">
        <v>0.1111111</v>
      </c>
      <c r="E94" s="383">
        <v>71</v>
      </c>
      <c r="F94" s="131">
        <f t="shared" si="78"/>
        <v>231.55762860590102</v>
      </c>
      <c r="G94" s="383">
        <v>90</v>
      </c>
      <c r="H94" s="132">
        <v>100</v>
      </c>
      <c r="I94" s="129">
        <f t="shared" si="75"/>
        <v>3.8461538461538463</v>
      </c>
      <c r="J94" s="364">
        <v>90</v>
      </c>
      <c r="K94" s="130">
        <f t="shared" si="83"/>
        <v>1.111111E-2</v>
      </c>
      <c r="L94" s="382">
        <v>90</v>
      </c>
      <c r="M94" s="133">
        <f>F94*H94/1000</f>
        <v>23.155762860590102</v>
      </c>
      <c r="N94" s="383">
        <v>90</v>
      </c>
      <c r="O94" s="134"/>
      <c r="P94" s="428"/>
      <c r="Q94" s="135"/>
      <c r="R94" s="428"/>
      <c r="S94" s="135">
        <v>26</v>
      </c>
      <c r="T94" s="428">
        <v>71</v>
      </c>
      <c r="U94" s="135"/>
      <c r="V94" s="428"/>
      <c r="W94" s="136">
        <f t="shared" si="42"/>
        <v>0</v>
      </c>
      <c r="X94" s="137"/>
      <c r="Y94" s="138">
        <f t="shared" si="43"/>
        <v>21.839042973049452</v>
      </c>
      <c r="Z94" s="138">
        <f t="shared" si="44"/>
        <v>2.1839042973049452</v>
      </c>
      <c r="AA94" s="144" t="s">
        <v>675</v>
      </c>
      <c r="AC94" s="140"/>
      <c r="AD94" s="140"/>
    </row>
    <row r="95" spans="1:30" ht="13.5" customHeight="1" x14ac:dyDescent="0.25">
      <c r="A95" s="128" t="s">
        <v>674</v>
      </c>
      <c r="B95" s="145">
        <v>3.7999999999999999E-2</v>
      </c>
      <c r="C95" s="364">
        <v>71</v>
      </c>
      <c r="D95" s="157">
        <v>2.0283900000000001E-2</v>
      </c>
      <c r="E95" s="383">
        <v>71</v>
      </c>
      <c r="F95" s="131">
        <f t="shared" si="78"/>
        <v>42.272030273116144</v>
      </c>
      <c r="G95" s="383">
        <v>90</v>
      </c>
      <c r="H95" s="132">
        <v>100</v>
      </c>
      <c r="I95" s="129">
        <f t="shared" si="75"/>
        <v>2.6315789473684212</v>
      </c>
      <c r="J95" s="364"/>
      <c r="K95" s="130">
        <f t="shared" si="83"/>
        <v>2.0283899999999997E-3</v>
      </c>
      <c r="L95" s="382">
        <v>90</v>
      </c>
      <c r="M95" s="133">
        <f t="shared" si="84"/>
        <v>4.2272030273116146</v>
      </c>
      <c r="N95" s="383">
        <v>90</v>
      </c>
      <c r="O95" s="134"/>
      <c r="P95" s="428"/>
      <c r="Q95" s="135"/>
      <c r="R95" s="428"/>
      <c r="S95" s="135"/>
      <c r="T95" s="428"/>
      <c r="U95" s="135"/>
      <c r="V95" s="428"/>
      <c r="W95" s="136">
        <f t="shared" si="42"/>
        <v>0</v>
      </c>
      <c r="X95" s="137"/>
      <c r="Y95" s="138">
        <f t="shared" si="43"/>
        <v>3.9868290725322462</v>
      </c>
      <c r="Z95" s="138">
        <f t="shared" si="44"/>
        <v>0.39868290725322464</v>
      </c>
      <c r="AA95" s="144" t="s">
        <v>673</v>
      </c>
      <c r="AC95" s="140"/>
      <c r="AD95" s="140"/>
    </row>
    <row r="96" spans="1:30" ht="14.2" customHeight="1" x14ac:dyDescent="0.25">
      <c r="A96" s="151" t="s">
        <v>515</v>
      </c>
      <c r="B96" s="148">
        <v>1.9E-2</v>
      </c>
      <c r="C96" s="364">
        <v>71</v>
      </c>
      <c r="D96" s="157">
        <f>F96*3600*10^-9/760*1.013*10^5</f>
        <v>217.8483157894737</v>
      </c>
      <c r="E96" s="383">
        <v>90</v>
      </c>
      <c r="F96" s="131">
        <v>454000</v>
      </c>
      <c r="G96" s="384">
        <v>71</v>
      </c>
      <c r="H96" s="132">
        <v>35</v>
      </c>
      <c r="I96" s="145">
        <f>H96/B96/1000</f>
        <v>1.8421052631578947</v>
      </c>
      <c r="J96" s="365">
        <v>90</v>
      </c>
      <c r="K96" s="130">
        <f>D96*H96/1000</f>
        <v>7.6246910526315794</v>
      </c>
      <c r="L96" s="382">
        <v>90</v>
      </c>
      <c r="M96" s="133">
        <f>F96*H96/1000</f>
        <v>15890</v>
      </c>
      <c r="N96" s="383">
        <v>90</v>
      </c>
      <c r="O96" s="159"/>
      <c r="P96" s="429"/>
      <c r="Q96" s="159"/>
      <c r="R96" s="429"/>
      <c r="S96" s="159"/>
      <c r="T96" s="429"/>
      <c r="U96" s="135"/>
      <c r="V96" s="428"/>
      <c r="W96" s="136">
        <f t="shared" si="42"/>
        <v>0</v>
      </c>
      <c r="X96" s="137"/>
      <c r="Y96" s="138">
        <f t="shared" si="43"/>
        <v>42818.392853034151</v>
      </c>
      <c r="Z96" s="138">
        <f t="shared" si="44"/>
        <v>1498.6437498561954</v>
      </c>
      <c r="AA96" s="150" t="s">
        <v>514</v>
      </c>
      <c r="AB96" s="140" t="str">
        <f>VLOOKUP(C96,$B$399:$C$431,2,FALSE)</f>
        <v>メーカー公表値</v>
      </c>
      <c r="AC96" s="140" t="str">
        <f>VLOOKUP(G96,$B$399:$C$431,2,FALSE)</f>
        <v>メーカー公表値</v>
      </c>
      <c r="AD96" s="140"/>
    </row>
    <row r="97" spans="1:32" ht="14.2" customHeight="1" x14ac:dyDescent="0.25">
      <c r="A97" s="151" t="s">
        <v>238</v>
      </c>
      <c r="B97" s="148">
        <v>3.4000000000000002E-2</v>
      </c>
      <c r="C97" s="365">
        <v>71</v>
      </c>
      <c r="D97" s="130">
        <v>0.97560000000000002</v>
      </c>
      <c r="E97" s="387">
        <v>71</v>
      </c>
      <c r="F97" s="131">
        <f>D97/0.000479842105263158</f>
        <v>2033.1688055281338</v>
      </c>
      <c r="G97" s="384">
        <v>90</v>
      </c>
      <c r="H97" s="132">
        <v>10</v>
      </c>
      <c r="I97" s="129">
        <f>H97/B97/1000</f>
        <v>0.29411764705882354</v>
      </c>
      <c r="J97" s="365">
        <v>90</v>
      </c>
      <c r="K97" s="130">
        <f>D97*H97/1000</f>
        <v>9.7560000000000008E-3</v>
      </c>
      <c r="L97" s="382">
        <v>90</v>
      </c>
      <c r="M97" s="133">
        <f>F97*H97/1000</f>
        <v>20.331688055281337</v>
      </c>
      <c r="N97" s="383">
        <v>90</v>
      </c>
      <c r="O97" s="159"/>
      <c r="P97" s="429"/>
      <c r="Q97" s="159"/>
      <c r="R97" s="429"/>
      <c r="S97" s="159"/>
      <c r="T97" s="429"/>
      <c r="U97" s="135"/>
      <c r="V97" s="428"/>
      <c r="W97" s="136">
        <f t="shared" si="42"/>
        <v>0</v>
      </c>
      <c r="X97" s="137"/>
      <c r="Y97" s="138">
        <f t="shared" si="43"/>
        <v>191.75555209611861</v>
      </c>
      <c r="Z97" s="138">
        <f t="shared" si="44"/>
        <v>1.9175555209611861</v>
      </c>
      <c r="AA97" s="160" t="s">
        <v>516</v>
      </c>
      <c r="AB97" s="140" t="str">
        <f>VLOOKUP(C97,$B$399:$C$431,2,FALSE)</f>
        <v>メーカー公表値</v>
      </c>
      <c r="AC97" s="140" t="str">
        <f>VLOOKUP(E97,$B$399:$C$431,2,FALSE)</f>
        <v>メーカー公表値</v>
      </c>
      <c r="AD97" s="140"/>
    </row>
    <row r="98" spans="1:32" ht="14.2" customHeight="1" thickBot="1" x14ac:dyDescent="0.3">
      <c r="A98" s="151" t="s">
        <v>517</v>
      </c>
      <c r="B98" s="148">
        <v>2.8000000000000001E-2</v>
      </c>
      <c r="C98" s="365">
        <v>71</v>
      </c>
      <c r="D98" s="130">
        <v>0.27600000000000002</v>
      </c>
      <c r="E98" s="387">
        <v>71</v>
      </c>
      <c r="F98" s="131">
        <f>D98/0.000479842105263158</f>
        <v>575.18920697597889</v>
      </c>
      <c r="G98" s="384">
        <v>90</v>
      </c>
      <c r="H98" s="132">
        <v>25</v>
      </c>
      <c r="I98" s="129">
        <f>H98/B98/1000</f>
        <v>0.8928571428571429</v>
      </c>
      <c r="J98" s="365">
        <v>90</v>
      </c>
      <c r="K98" s="130">
        <f>D98*H98/1000</f>
        <v>6.9000000000000008E-3</v>
      </c>
      <c r="L98" s="382">
        <v>90</v>
      </c>
      <c r="M98" s="133">
        <f>F98*H98/1000</f>
        <v>14.379730174399473</v>
      </c>
      <c r="N98" s="383">
        <v>90</v>
      </c>
      <c r="O98" s="159"/>
      <c r="P98" s="429"/>
      <c r="Q98" s="159"/>
      <c r="R98" s="429"/>
      <c r="S98" s="135">
        <v>25</v>
      </c>
      <c r="T98" s="429">
        <v>71</v>
      </c>
      <c r="U98" s="135"/>
      <c r="V98" s="428"/>
      <c r="W98" s="136">
        <f t="shared" si="42"/>
        <v>0</v>
      </c>
      <c r="X98" s="137"/>
      <c r="Y98" s="138">
        <f t="shared" si="43"/>
        <v>54.248188169873657</v>
      </c>
      <c r="Z98" s="138">
        <f t="shared" si="44"/>
        <v>1.3562047042468415</v>
      </c>
      <c r="AA98" s="160" t="s">
        <v>518</v>
      </c>
      <c r="AB98" s="140" t="str">
        <f>VLOOKUP(C98,$B$399:$C$431,2,FALSE)</f>
        <v>メーカー公表値</v>
      </c>
      <c r="AC98" s="140" t="str">
        <f>VLOOKUP(E98,$B$399:$C$431,2,FALSE)</f>
        <v>メーカー公表値</v>
      </c>
      <c r="AD98" s="140"/>
    </row>
    <row r="99" spans="1:32" ht="21" customHeight="1" thickTop="1" x14ac:dyDescent="0.25">
      <c r="A99" s="161" t="s">
        <v>531</v>
      </c>
      <c r="B99" s="162"/>
      <c r="C99" s="366"/>
      <c r="D99" s="163"/>
      <c r="E99" s="366"/>
      <c r="F99" s="162"/>
      <c r="G99" s="366"/>
      <c r="H99" s="162"/>
      <c r="I99" s="162"/>
      <c r="J99" s="366"/>
      <c r="K99" s="163"/>
      <c r="L99" s="366"/>
      <c r="M99" s="162"/>
      <c r="N99" s="366"/>
      <c r="O99" s="162"/>
      <c r="P99" s="366"/>
      <c r="Q99" s="162"/>
      <c r="R99" s="366"/>
      <c r="S99" s="162"/>
      <c r="T99" s="366"/>
      <c r="U99" s="162"/>
      <c r="V99" s="366"/>
      <c r="W99" s="164"/>
      <c r="X99" s="164"/>
      <c r="Y99" s="165"/>
      <c r="Z99" s="165"/>
      <c r="AA99" s="166"/>
    </row>
    <row r="100" spans="1:32" ht="14.2" customHeight="1" x14ac:dyDescent="0.25">
      <c r="A100" s="167" t="s">
        <v>247</v>
      </c>
      <c r="B100" s="168">
        <v>0.6</v>
      </c>
      <c r="C100" s="367">
        <v>10</v>
      </c>
      <c r="D100" s="169">
        <f>F100*3600*10^-9/760*1.013*10^5</f>
        <v>0.18455207210526314</v>
      </c>
      <c r="E100" s="406">
        <v>90</v>
      </c>
      <c r="F100" s="170">
        <v>384.61</v>
      </c>
      <c r="G100" s="385">
        <v>52</v>
      </c>
      <c r="H100" s="171">
        <v>30</v>
      </c>
      <c r="I100" s="172">
        <f t="shared" ref="I100:I124" si="85">H100/B100/1000</f>
        <v>0.05</v>
      </c>
      <c r="J100" s="367">
        <v>90</v>
      </c>
      <c r="K100" s="169">
        <f>D100*H100/1000</f>
        <v>5.5365621631578944E-3</v>
      </c>
      <c r="L100" s="413">
        <v>90</v>
      </c>
      <c r="M100" s="173">
        <f>F100*H100/1000</f>
        <v>11.538300000000001</v>
      </c>
      <c r="N100" s="406">
        <v>90</v>
      </c>
      <c r="O100" s="174">
        <v>1600</v>
      </c>
      <c r="P100" s="431">
        <v>11</v>
      </c>
      <c r="Q100" s="175">
        <f>O100/S100</f>
        <v>0.82474226804123707</v>
      </c>
      <c r="R100" s="431">
        <v>90</v>
      </c>
      <c r="S100" s="176">
        <v>1940</v>
      </c>
      <c r="T100" s="439">
        <v>50</v>
      </c>
      <c r="U100" s="176">
        <v>0.09</v>
      </c>
      <c r="V100" s="431">
        <v>11</v>
      </c>
      <c r="W100" s="136">
        <f t="shared" ref="W100:W148" si="86">SQRT(B100*O100*1000)</f>
        <v>979.79589711327128</v>
      </c>
      <c r="X100" s="137">
        <f t="shared" si="82"/>
        <v>3.75</v>
      </c>
      <c r="Y100" s="138">
        <f t="shared" ref="Y100:Y148" si="87">K100/(H100/1000)*((2*10^-7*(20+273)^0.81/101325)*10^12)</f>
        <v>36.273969328646395</v>
      </c>
      <c r="Z100" s="138">
        <f t="shared" ref="Z100:Z148" si="88">Y100*(H100/1000)</f>
        <v>1.0882190798593918</v>
      </c>
      <c r="AA100" s="144"/>
      <c r="AB100" s="140" t="str">
        <f t="shared" ref="AB100:AB130" si="89">VLOOKUP(C100,$B$399:$C$431,2,FALSE)</f>
        <v>H28年建築物省エネルギー法</v>
      </c>
      <c r="AC100" s="140" t="str">
        <f>VLOOKUP(G100,$B$399:$C$431,2,FALSE)</f>
        <v>「住宅の結露防止」学芸出版社 (2004/04)</v>
      </c>
      <c r="AD100" s="103" t="s">
        <v>410</v>
      </c>
      <c r="AE100" s="103" t="s">
        <v>376</v>
      </c>
    </row>
    <row r="101" spans="1:32" ht="14.2" customHeight="1" x14ac:dyDescent="0.25">
      <c r="A101" s="128" t="s">
        <v>353</v>
      </c>
      <c r="B101" s="145">
        <v>0.74</v>
      </c>
      <c r="C101" s="364">
        <v>10</v>
      </c>
      <c r="D101" s="157">
        <v>1.9199999999999998E-2</v>
      </c>
      <c r="E101" s="382">
        <v>11</v>
      </c>
      <c r="F101" s="131">
        <v>40</v>
      </c>
      <c r="G101" s="382">
        <v>11</v>
      </c>
      <c r="H101" s="132">
        <v>10</v>
      </c>
      <c r="I101" s="129">
        <f t="shared" si="85"/>
        <v>1.3513513513513514E-2</v>
      </c>
      <c r="J101" s="364">
        <v>90</v>
      </c>
      <c r="K101" s="157">
        <f t="shared" ref="K101" si="90">D101*H101/1000</f>
        <v>1.9199999999999998E-4</v>
      </c>
      <c r="L101" s="382">
        <v>90</v>
      </c>
      <c r="M101" s="133">
        <f t="shared" ref="M101" si="91">F101*H101/1000</f>
        <v>0.4</v>
      </c>
      <c r="N101" s="383">
        <v>90</v>
      </c>
      <c r="O101" s="134">
        <v>1400</v>
      </c>
      <c r="P101" s="428">
        <v>11</v>
      </c>
      <c r="Q101" s="135">
        <f>O101/S101</f>
        <v>1.0769230769230769</v>
      </c>
      <c r="R101" s="428">
        <v>90</v>
      </c>
      <c r="S101" s="135">
        <v>1300</v>
      </c>
      <c r="T101" s="428">
        <v>22</v>
      </c>
      <c r="U101" s="135">
        <v>0.13</v>
      </c>
      <c r="V101" s="428">
        <v>11</v>
      </c>
      <c r="W101" s="136">
        <f t="shared" si="86"/>
        <v>1017.8408519999577</v>
      </c>
      <c r="X101" s="137">
        <f t="shared" si="82"/>
        <v>5.2857142857142856</v>
      </c>
      <c r="Y101" s="138">
        <f t="shared" si="87"/>
        <v>3.7737870031216452</v>
      </c>
      <c r="Z101" s="138">
        <f t="shared" si="88"/>
        <v>3.7737870031216453E-2</v>
      </c>
      <c r="AA101" s="144"/>
      <c r="AB101" s="140" t="str">
        <f t="shared" si="89"/>
        <v>H28年建築物省エネルギー法</v>
      </c>
      <c r="AC101" s="103" t="s">
        <v>346</v>
      </c>
      <c r="AD101" s="103" t="s">
        <v>410</v>
      </c>
      <c r="AE101" s="103" t="s">
        <v>379</v>
      </c>
      <c r="AF101" s="103" t="s">
        <v>402</v>
      </c>
    </row>
    <row r="102" spans="1:32" ht="14.2" customHeight="1" x14ac:dyDescent="0.25">
      <c r="A102" s="128" t="s">
        <v>141</v>
      </c>
      <c r="B102" s="145">
        <v>0.69</v>
      </c>
      <c r="C102" s="364">
        <v>10</v>
      </c>
      <c r="D102" s="157">
        <v>4.8300000000000003E-2</v>
      </c>
      <c r="E102" s="382">
        <v>11</v>
      </c>
      <c r="F102" s="131">
        <v>101</v>
      </c>
      <c r="G102" s="382">
        <v>11</v>
      </c>
      <c r="H102" s="132">
        <v>60</v>
      </c>
      <c r="I102" s="129">
        <f t="shared" si="85"/>
        <v>8.6956521739130432E-2</v>
      </c>
      <c r="J102" s="364">
        <v>90</v>
      </c>
      <c r="K102" s="157">
        <f>D102*H102/1000</f>
        <v>2.898E-3</v>
      </c>
      <c r="L102" s="382">
        <v>90</v>
      </c>
      <c r="M102" s="133">
        <f>F102*H102/1000</f>
        <v>6.06</v>
      </c>
      <c r="N102" s="383">
        <v>90</v>
      </c>
      <c r="O102" s="134">
        <v>1100</v>
      </c>
      <c r="P102" s="428">
        <v>11</v>
      </c>
      <c r="Q102" s="135">
        <f>O102/S102</f>
        <v>0.859375</v>
      </c>
      <c r="R102" s="428">
        <v>90</v>
      </c>
      <c r="S102" s="135">
        <v>1280</v>
      </c>
      <c r="T102" s="428">
        <v>22</v>
      </c>
      <c r="U102" s="135">
        <v>0.16</v>
      </c>
      <c r="V102" s="428">
        <v>11</v>
      </c>
      <c r="W102" s="136">
        <f t="shared" si="86"/>
        <v>871.20606058498004</v>
      </c>
      <c r="X102" s="137">
        <f t="shared" si="82"/>
        <v>6.2727272727272716</v>
      </c>
      <c r="Y102" s="138">
        <f t="shared" si="87"/>
        <v>9.4934329297278897</v>
      </c>
      <c r="Z102" s="138">
        <f t="shared" si="88"/>
        <v>0.56960597578367334</v>
      </c>
      <c r="AA102" s="144"/>
      <c r="AB102" s="140" t="str">
        <f t="shared" si="89"/>
        <v>H28年建築物省エネルギー法</v>
      </c>
      <c r="AC102" s="103" t="s">
        <v>346</v>
      </c>
      <c r="AD102" s="103" t="s">
        <v>410</v>
      </c>
      <c r="AE102" s="103" t="s">
        <v>379</v>
      </c>
      <c r="AF102" s="103" t="s">
        <v>401</v>
      </c>
    </row>
    <row r="103" spans="1:32" ht="14.2" customHeight="1" x14ac:dyDescent="0.25">
      <c r="A103" s="177" t="s">
        <v>95</v>
      </c>
      <c r="B103" s="145">
        <v>1</v>
      </c>
      <c r="C103" s="364">
        <v>10</v>
      </c>
      <c r="D103" s="157">
        <f>F103*3600*10^-9/760*1.013*10^5</f>
        <v>479842.10478331579</v>
      </c>
      <c r="E103" s="383">
        <v>90</v>
      </c>
      <c r="F103" s="178">
        <v>999999999</v>
      </c>
      <c r="G103" s="386">
        <v>99</v>
      </c>
      <c r="H103" s="132">
        <v>3</v>
      </c>
      <c r="I103" s="129">
        <f t="shared" si="85"/>
        <v>3.0000000000000001E-3</v>
      </c>
      <c r="J103" s="364">
        <v>90</v>
      </c>
      <c r="K103" s="157"/>
      <c r="L103" s="382"/>
      <c r="M103" s="133"/>
      <c r="N103" s="383"/>
      <c r="O103" s="179">
        <v>1900</v>
      </c>
      <c r="P103" s="428">
        <v>11</v>
      </c>
      <c r="Q103" s="135">
        <f>O103/S103</f>
        <v>0.76</v>
      </c>
      <c r="R103" s="428">
        <v>90</v>
      </c>
      <c r="S103" s="180">
        <v>2500</v>
      </c>
      <c r="T103" s="428">
        <v>22</v>
      </c>
      <c r="U103" s="135">
        <f>((B103/O103)/($B$194/$O$194))*0.2</f>
        <v>0.13157894736842105</v>
      </c>
      <c r="V103" s="428">
        <v>11</v>
      </c>
      <c r="W103" s="136">
        <f t="shared" si="86"/>
        <v>1378.4048752090221</v>
      </c>
      <c r="X103" s="137">
        <f t="shared" si="82"/>
        <v>5.2631578947368416</v>
      </c>
      <c r="Y103" s="138">
        <f t="shared" si="87"/>
        <v>0</v>
      </c>
      <c r="Z103" s="138">
        <f t="shared" si="88"/>
        <v>0</v>
      </c>
      <c r="AA103" s="154"/>
      <c r="AB103" s="140" t="str">
        <f t="shared" si="89"/>
        <v>H28年建築物省エネルギー法</v>
      </c>
      <c r="AC103" s="140" t="str">
        <f>VLOOKUP(G103,$B$399:$C$431,2,FALSE)</f>
        <v>推測値</v>
      </c>
      <c r="AD103" s="103" t="s">
        <v>410</v>
      </c>
      <c r="AE103" s="103" t="s">
        <v>386</v>
      </c>
    </row>
    <row r="104" spans="1:32" ht="14.2" customHeight="1" x14ac:dyDescent="0.25">
      <c r="A104" s="128" t="s">
        <v>157</v>
      </c>
      <c r="B104" s="145">
        <v>1.3</v>
      </c>
      <c r="C104" s="364">
        <v>10</v>
      </c>
      <c r="D104" s="157"/>
      <c r="E104" s="383"/>
      <c r="F104" s="131"/>
      <c r="G104" s="383"/>
      <c r="H104" s="132">
        <v>6</v>
      </c>
      <c r="I104" s="129">
        <f t="shared" si="85"/>
        <v>4.6153846153846149E-3</v>
      </c>
      <c r="J104" s="364">
        <v>90</v>
      </c>
      <c r="K104" s="157"/>
      <c r="L104" s="382"/>
      <c r="M104" s="133"/>
      <c r="N104" s="386"/>
      <c r="O104" s="134">
        <v>2000</v>
      </c>
      <c r="P104" s="428">
        <v>11</v>
      </c>
      <c r="Q104" s="135">
        <f>O104/S104</f>
        <v>0.83333333333333337</v>
      </c>
      <c r="R104" s="428">
        <v>90</v>
      </c>
      <c r="S104" s="135">
        <v>2400</v>
      </c>
      <c r="T104" s="428">
        <v>22</v>
      </c>
      <c r="U104" s="135">
        <f>((B104/O104)/($B$194/$O$194))*0.2</f>
        <v>0.16249999999999998</v>
      </c>
      <c r="V104" s="428">
        <v>11</v>
      </c>
      <c r="W104" s="136">
        <f t="shared" si="86"/>
        <v>1612.4515496597098</v>
      </c>
      <c r="X104" s="137">
        <f t="shared" si="82"/>
        <v>6.5</v>
      </c>
      <c r="Y104" s="138">
        <f t="shared" si="87"/>
        <v>0</v>
      </c>
      <c r="Z104" s="138">
        <f t="shared" si="88"/>
        <v>0</v>
      </c>
      <c r="AA104" s="144"/>
      <c r="AB104" s="140" t="str">
        <f t="shared" si="89"/>
        <v>H28年建築物省エネルギー法</v>
      </c>
      <c r="AC104" s="140"/>
      <c r="AD104" s="103" t="s">
        <v>410</v>
      </c>
      <c r="AE104" s="103" t="s">
        <v>377</v>
      </c>
    </row>
    <row r="105" spans="1:32" ht="14.2" customHeight="1" x14ac:dyDescent="0.25">
      <c r="A105" s="167" t="s">
        <v>92</v>
      </c>
      <c r="B105" s="145">
        <v>0.64</v>
      </c>
      <c r="C105" s="364">
        <v>10</v>
      </c>
      <c r="D105" s="157"/>
      <c r="E105" s="383"/>
      <c r="F105" s="131"/>
      <c r="G105" s="383"/>
      <c r="H105" s="132">
        <v>100</v>
      </c>
      <c r="I105" s="129">
        <f t="shared" si="85"/>
        <v>0.15625</v>
      </c>
      <c r="J105" s="364">
        <v>90</v>
      </c>
      <c r="K105" s="157"/>
      <c r="L105" s="382"/>
      <c r="M105" s="133"/>
      <c r="N105" s="383"/>
      <c r="O105" s="134">
        <v>1499</v>
      </c>
      <c r="P105" s="428">
        <v>11</v>
      </c>
      <c r="Q105" s="135"/>
      <c r="R105" s="428"/>
      <c r="S105" s="135"/>
      <c r="T105" s="428"/>
      <c r="U105" s="135">
        <v>0.11</v>
      </c>
      <c r="V105" s="428">
        <v>11</v>
      </c>
      <c r="W105" s="136">
        <f t="shared" si="86"/>
        <v>979.46924402964282</v>
      </c>
      <c r="X105" s="137">
        <f t="shared" si="82"/>
        <v>4.2695130086724484</v>
      </c>
      <c r="Y105" s="138">
        <f t="shared" si="87"/>
        <v>0</v>
      </c>
      <c r="Z105" s="138">
        <f t="shared" si="88"/>
        <v>0</v>
      </c>
      <c r="AA105" s="144"/>
      <c r="AB105" s="140" t="str">
        <f t="shared" si="89"/>
        <v>H28年建築物省エネルギー法</v>
      </c>
      <c r="AC105" s="140"/>
      <c r="AD105" s="103" t="s">
        <v>410</v>
      </c>
      <c r="AE105" s="103" t="s">
        <v>387</v>
      </c>
    </row>
    <row r="106" spans="1:32" ht="13.5" customHeight="1" x14ac:dyDescent="0.25">
      <c r="A106" s="167" t="s">
        <v>354</v>
      </c>
      <c r="B106" s="145">
        <v>1</v>
      </c>
      <c r="C106" s="364">
        <v>10</v>
      </c>
      <c r="D106" s="157">
        <f>F106*3600*10^-9/760*1.013*10^5</f>
        <v>0.15994576894736845</v>
      </c>
      <c r="E106" s="383">
        <v>90</v>
      </c>
      <c r="F106" s="131">
        <v>333.33</v>
      </c>
      <c r="G106" s="383">
        <v>63</v>
      </c>
      <c r="H106" s="132">
        <v>30</v>
      </c>
      <c r="I106" s="129">
        <f t="shared" si="85"/>
        <v>0.03</v>
      </c>
      <c r="J106" s="364">
        <v>90</v>
      </c>
      <c r="K106" s="157">
        <f>D106*H106/1000</f>
        <v>4.7983730684210534E-3</v>
      </c>
      <c r="L106" s="382">
        <v>90</v>
      </c>
      <c r="M106" s="133">
        <f>F106*H106/1000</f>
        <v>9.9999000000000002</v>
      </c>
      <c r="N106" s="383">
        <v>90</v>
      </c>
      <c r="O106" s="134">
        <v>1520</v>
      </c>
      <c r="P106" s="428">
        <v>62</v>
      </c>
      <c r="Q106" s="135">
        <v>0.95</v>
      </c>
      <c r="R106" s="428">
        <v>17</v>
      </c>
      <c r="S106" s="135"/>
      <c r="T106" s="428"/>
      <c r="U106" s="135">
        <f>((B106/O106)/($B$194/$O$194))*0.2</f>
        <v>0.16447368421052633</v>
      </c>
      <c r="V106" s="428">
        <v>90</v>
      </c>
      <c r="W106" s="136">
        <f t="shared" si="86"/>
        <v>1232.8828005937953</v>
      </c>
      <c r="X106" s="137">
        <f t="shared" si="82"/>
        <v>6.5789473684210522</v>
      </c>
      <c r="Y106" s="138">
        <f t="shared" si="87"/>
        <v>31.437565836347744</v>
      </c>
      <c r="Z106" s="138">
        <f t="shared" si="88"/>
        <v>0.94312697509043231</v>
      </c>
      <c r="AA106" s="144"/>
      <c r="AB106" s="140" t="str">
        <f t="shared" si="89"/>
        <v>H28年建築物省エネルギー法</v>
      </c>
      <c r="AC106" s="140" t="str">
        <f>VLOOKUP(E106,$B$399:$C$431,2,FALSE)</f>
        <v>計算値</v>
      </c>
      <c r="AD106" s="140" t="str">
        <f>VLOOKUP(P106,$B$399:$C$431,2,FALSE)</f>
        <v>SolarDesigner6マニュアル</v>
      </c>
      <c r="AE106" s="103" t="s">
        <v>377</v>
      </c>
    </row>
    <row r="107" spans="1:32" ht="14.2" customHeight="1" x14ac:dyDescent="0.25">
      <c r="A107" s="128" t="s">
        <v>98</v>
      </c>
      <c r="B107" s="145">
        <v>6.4000000000000001E-2</v>
      </c>
      <c r="C107" s="364">
        <v>10</v>
      </c>
      <c r="D107" s="157">
        <v>0.17</v>
      </c>
      <c r="E107" s="382">
        <v>11</v>
      </c>
      <c r="F107" s="131">
        <v>350</v>
      </c>
      <c r="G107" s="382">
        <v>11</v>
      </c>
      <c r="H107" s="132">
        <v>12.5</v>
      </c>
      <c r="I107" s="129">
        <f t="shared" si="85"/>
        <v>0.1953125</v>
      </c>
      <c r="J107" s="364">
        <v>90</v>
      </c>
      <c r="K107" s="157">
        <f>D107*H107/1000</f>
        <v>2.1250000000000002E-3</v>
      </c>
      <c r="L107" s="382">
        <v>90</v>
      </c>
      <c r="M107" s="133">
        <f>F107*H107/1000</f>
        <v>4.375</v>
      </c>
      <c r="N107" s="383">
        <v>90</v>
      </c>
      <c r="O107" s="134">
        <v>336</v>
      </c>
      <c r="P107" s="428">
        <v>62</v>
      </c>
      <c r="Q107" s="135"/>
      <c r="R107" s="428"/>
      <c r="S107" s="135">
        <v>350</v>
      </c>
      <c r="T107" s="428">
        <v>22</v>
      </c>
      <c r="U107" s="135">
        <f>((B107/O107)/($B$194/$O$194))*0.2</f>
        <v>4.7619047619047616E-2</v>
      </c>
      <c r="V107" s="428">
        <v>90</v>
      </c>
      <c r="W107" s="136">
        <f t="shared" si="86"/>
        <v>146.64242223858687</v>
      </c>
      <c r="X107" s="137">
        <f t="shared" si="82"/>
        <v>1.9047619047619049</v>
      </c>
      <c r="Y107" s="138">
        <f t="shared" si="87"/>
        <v>33.413739090139572</v>
      </c>
      <c r="Z107" s="138">
        <f t="shared" si="88"/>
        <v>0.41767173862674467</v>
      </c>
      <c r="AA107" s="141"/>
      <c r="AB107" s="140" t="str">
        <f t="shared" si="89"/>
        <v>H28年建築物省エネルギー法</v>
      </c>
      <c r="AC107" s="103" t="s">
        <v>346</v>
      </c>
      <c r="AD107" s="140" t="str">
        <f>VLOOKUP(P107,$B$399:$C$431,2,FALSE)</f>
        <v>SolarDesigner6マニュアル</v>
      </c>
      <c r="AE107" s="103" t="s">
        <v>377</v>
      </c>
      <c r="AF107" s="103" t="s">
        <v>402</v>
      </c>
    </row>
    <row r="108" spans="1:32" ht="14.2" customHeight="1" x14ac:dyDescent="0.25">
      <c r="A108" s="167" t="s">
        <v>355</v>
      </c>
      <c r="B108" s="181">
        <v>0.13</v>
      </c>
      <c r="C108" s="364">
        <v>10</v>
      </c>
      <c r="D108" s="157"/>
      <c r="E108" s="383"/>
      <c r="F108" s="182"/>
      <c r="G108" s="386"/>
      <c r="H108" s="132">
        <v>12</v>
      </c>
      <c r="I108" s="129">
        <f t="shared" si="85"/>
        <v>9.2307692307692313E-2</v>
      </c>
      <c r="J108" s="364">
        <v>90</v>
      </c>
      <c r="K108" s="157"/>
      <c r="L108" s="382"/>
      <c r="M108" s="133"/>
      <c r="N108" s="383"/>
      <c r="O108" s="183"/>
      <c r="P108" s="432"/>
      <c r="Q108" s="135"/>
      <c r="R108" s="428"/>
      <c r="S108" s="184"/>
      <c r="T108" s="432"/>
      <c r="U108" s="184"/>
      <c r="V108" s="432"/>
      <c r="W108" s="136">
        <f t="shared" si="86"/>
        <v>0</v>
      </c>
      <c r="X108" s="137"/>
      <c r="Y108" s="138">
        <f t="shared" si="87"/>
        <v>0</v>
      </c>
      <c r="Z108" s="138">
        <f t="shared" si="88"/>
        <v>0</v>
      </c>
      <c r="AA108" s="144"/>
      <c r="AB108" s="140" t="str">
        <f t="shared" si="89"/>
        <v>H28年建築物省エネルギー法</v>
      </c>
      <c r="AC108" s="140"/>
      <c r="AD108" s="140"/>
      <c r="AE108" s="103" t="s">
        <v>388</v>
      </c>
    </row>
    <row r="109" spans="1:32" ht="14.2" customHeight="1" x14ac:dyDescent="0.25">
      <c r="A109" s="128" t="s">
        <v>314</v>
      </c>
      <c r="B109" s="145">
        <v>0.221</v>
      </c>
      <c r="C109" s="364">
        <v>10</v>
      </c>
      <c r="D109" s="157">
        <v>2.52E-2</v>
      </c>
      <c r="E109" s="382">
        <v>11</v>
      </c>
      <c r="F109" s="131">
        <v>52.5</v>
      </c>
      <c r="G109" s="382">
        <v>11</v>
      </c>
      <c r="H109" s="132">
        <v>12.5</v>
      </c>
      <c r="I109" s="129">
        <f t="shared" si="85"/>
        <v>5.6561085972850679E-2</v>
      </c>
      <c r="J109" s="364">
        <v>90</v>
      </c>
      <c r="K109" s="157">
        <f>D109*H109/1000</f>
        <v>3.1500000000000001E-4</v>
      </c>
      <c r="L109" s="382">
        <v>90</v>
      </c>
      <c r="M109" s="133">
        <f>F109*H109/1000</f>
        <v>0.65625</v>
      </c>
      <c r="N109" s="383">
        <v>90</v>
      </c>
      <c r="O109" s="134">
        <v>830</v>
      </c>
      <c r="P109" s="428">
        <v>11</v>
      </c>
      <c r="Q109" s="135">
        <f t="shared" ref="Q109:Q115" si="92">O109/S109</f>
        <v>1.1066666666666667</v>
      </c>
      <c r="R109" s="428">
        <v>90</v>
      </c>
      <c r="S109" s="135">
        <v>750</v>
      </c>
      <c r="T109" s="428">
        <v>22</v>
      </c>
      <c r="U109" s="135">
        <v>7.0000000000000007E-2</v>
      </c>
      <c r="V109" s="428">
        <v>11</v>
      </c>
      <c r="W109" s="136">
        <f t="shared" si="86"/>
        <v>428.28728675971695</v>
      </c>
      <c r="X109" s="137">
        <f t="shared" si="82"/>
        <v>2.6626506024096388</v>
      </c>
      <c r="Y109" s="138">
        <f t="shared" si="87"/>
        <v>4.9530954415971591</v>
      </c>
      <c r="Z109" s="138">
        <f t="shared" si="88"/>
        <v>6.1913693019964494E-2</v>
      </c>
      <c r="AA109" s="144"/>
      <c r="AB109" s="140" t="str">
        <f t="shared" si="89"/>
        <v>H28年建築物省エネルギー法</v>
      </c>
      <c r="AC109" s="103" t="s">
        <v>346</v>
      </c>
      <c r="AD109" s="103" t="s">
        <v>410</v>
      </c>
      <c r="AE109" s="103" t="s">
        <v>384</v>
      </c>
      <c r="AF109" s="103" t="s">
        <v>400</v>
      </c>
    </row>
    <row r="110" spans="1:32" ht="14.2" customHeight="1" x14ac:dyDescent="0.25">
      <c r="A110" s="128" t="s">
        <v>315</v>
      </c>
      <c r="B110" s="145">
        <v>0.221</v>
      </c>
      <c r="C110" s="364">
        <v>10</v>
      </c>
      <c r="D110" s="157">
        <v>2.52E-2</v>
      </c>
      <c r="E110" s="382">
        <v>11</v>
      </c>
      <c r="F110" s="131">
        <v>52.5</v>
      </c>
      <c r="G110" s="382">
        <v>11</v>
      </c>
      <c r="H110" s="132">
        <v>12.5</v>
      </c>
      <c r="I110" s="129">
        <f t="shared" si="85"/>
        <v>5.6561085972850679E-2</v>
      </c>
      <c r="J110" s="364">
        <v>90</v>
      </c>
      <c r="K110" s="157">
        <f t="shared" ref="K110:K118" si="93">D110*H110/1000</f>
        <v>3.1500000000000001E-4</v>
      </c>
      <c r="L110" s="382">
        <v>90</v>
      </c>
      <c r="M110" s="133">
        <f t="shared" ref="M110:M118" si="94">F110*H110/1000</f>
        <v>0.65625</v>
      </c>
      <c r="N110" s="383">
        <v>90</v>
      </c>
      <c r="O110" s="134">
        <v>830</v>
      </c>
      <c r="P110" s="428">
        <v>11</v>
      </c>
      <c r="Q110" s="135">
        <f t="shared" si="92"/>
        <v>1.1066666666666667</v>
      </c>
      <c r="R110" s="428">
        <v>90</v>
      </c>
      <c r="S110" s="135">
        <v>750</v>
      </c>
      <c r="T110" s="428">
        <v>22</v>
      </c>
      <c r="U110" s="135">
        <v>7.0000000000000007E-2</v>
      </c>
      <c r="V110" s="428">
        <v>11</v>
      </c>
      <c r="W110" s="136">
        <f t="shared" si="86"/>
        <v>428.28728675971695</v>
      </c>
      <c r="X110" s="137">
        <f t="shared" si="82"/>
        <v>2.6626506024096388</v>
      </c>
      <c r="Y110" s="138">
        <f t="shared" si="87"/>
        <v>4.9530954415971591</v>
      </c>
      <c r="Z110" s="138">
        <f t="shared" si="88"/>
        <v>6.1913693019964494E-2</v>
      </c>
      <c r="AA110" s="144"/>
      <c r="AB110" s="140" t="str">
        <f t="shared" si="89"/>
        <v>H28年建築物省エネルギー法</v>
      </c>
      <c r="AC110" s="103" t="s">
        <v>346</v>
      </c>
      <c r="AD110" s="103" t="s">
        <v>410</v>
      </c>
      <c r="AE110" s="103" t="s">
        <v>384</v>
      </c>
      <c r="AF110" s="103" t="s">
        <v>400</v>
      </c>
    </row>
    <row r="111" spans="1:32" ht="14.2" customHeight="1" x14ac:dyDescent="0.25">
      <c r="A111" s="128" t="s">
        <v>316</v>
      </c>
      <c r="B111" s="145">
        <v>0.221</v>
      </c>
      <c r="C111" s="364">
        <v>10</v>
      </c>
      <c r="D111" s="157">
        <v>2.52E-2</v>
      </c>
      <c r="E111" s="382">
        <v>11</v>
      </c>
      <c r="F111" s="131">
        <v>52.5</v>
      </c>
      <c r="G111" s="382">
        <v>11</v>
      </c>
      <c r="H111" s="132">
        <v>12.5</v>
      </c>
      <c r="I111" s="129">
        <f t="shared" si="85"/>
        <v>5.6561085972850679E-2</v>
      </c>
      <c r="J111" s="364">
        <v>90</v>
      </c>
      <c r="K111" s="157">
        <f t="shared" si="93"/>
        <v>3.1500000000000001E-4</v>
      </c>
      <c r="L111" s="382">
        <v>90</v>
      </c>
      <c r="M111" s="133">
        <f t="shared" si="94"/>
        <v>0.65625</v>
      </c>
      <c r="N111" s="383">
        <v>90</v>
      </c>
      <c r="O111" s="134">
        <v>830</v>
      </c>
      <c r="P111" s="428">
        <v>11</v>
      </c>
      <c r="Q111" s="135">
        <f t="shared" si="92"/>
        <v>1.1066666666666667</v>
      </c>
      <c r="R111" s="428">
        <v>90</v>
      </c>
      <c r="S111" s="135">
        <v>750</v>
      </c>
      <c r="T111" s="428">
        <v>22</v>
      </c>
      <c r="U111" s="135">
        <v>7.0000000000000007E-2</v>
      </c>
      <c r="V111" s="428">
        <v>11</v>
      </c>
      <c r="W111" s="136">
        <f t="shared" si="86"/>
        <v>428.28728675971695</v>
      </c>
      <c r="X111" s="137">
        <f t="shared" si="82"/>
        <v>2.6626506024096388</v>
      </c>
      <c r="Y111" s="138">
        <f t="shared" si="87"/>
        <v>4.9530954415971591</v>
      </c>
      <c r="Z111" s="138">
        <f t="shared" si="88"/>
        <v>6.1913693019964494E-2</v>
      </c>
      <c r="AA111" s="144"/>
      <c r="AB111" s="140" t="str">
        <f t="shared" si="89"/>
        <v>H28年建築物省エネルギー法</v>
      </c>
      <c r="AC111" s="103" t="s">
        <v>346</v>
      </c>
      <c r="AD111" s="103" t="s">
        <v>410</v>
      </c>
      <c r="AE111" s="103" t="s">
        <v>384</v>
      </c>
      <c r="AF111" s="103" t="s">
        <v>400</v>
      </c>
    </row>
    <row r="112" spans="1:32" ht="14.2" customHeight="1" x14ac:dyDescent="0.25">
      <c r="A112" s="128" t="s">
        <v>317</v>
      </c>
      <c r="B112" s="145">
        <v>0.221</v>
      </c>
      <c r="C112" s="364">
        <v>10</v>
      </c>
      <c r="D112" s="157">
        <v>2.52E-2</v>
      </c>
      <c r="E112" s="382">
        <v>11</v>
      </c>
      <c r="F112" s="131">
        <v>52.5</v>
      </c>
      <c r="G112" s="382">
        <v>11</v>
      </c>
      <c r="H112" s="132">
        <v>12.5</v>
      </c>
      <c r="I112" s="129">
        <f t="shared" si="85"/>
        <v>5.6561085972850679E-2</v>
      </c>
      <c r="J112" s="364">
        <v>90</v>
      </c>
      <c r="K112" s="157">
        <f t="shared" si="93"/>
        <v>3.1500000000000001E-4</v>
      </c>
      <c r="L112" s="382">
        <v>90</v>
      </c>
      <c r="M112" s="133">
        <f t="shared" si="94"/>
        <v>0.65625</v>
      </c>
      <c r="N112" s="383">
        <v>90</v>
      </c>
      <c r="O112" s="134">
        <v>830</v>
      </c>
      <c r="P112" s="428">
        <v>11</v>
      </c>
      <c r="Q112" s="135">
        <f t="shared" si="92"/>
        <v>1.1066666666666667</v>
      </c>
      <c r="R112" s="428">
        <v>90</v>
      </c>
      <c r="S112" s="135">
        <v>750</v>
      </c>
      <c r="T112" s="428">
        <v>22</v>
      </c>
      <c r="U112" s="135">
        <v>7.0000000000000007E-2</v>
      </c>
      <c r="V112" s="428">
        <v>11</v>
      </c>
      <c r="W112" s="136">
        <f t="shared" si="86"/>
        <v>428.28728675971695</v>
      </c>
      <c r="X112" s="137">
        <f t="shared" si="82"/>
        <v>2.6626506024096388</v>
      </c>
      <c r="Y112" s="138">
        <f t="shared" si="87"/>
        <v>4.9530954415971591</v>
      </c>
      <c r="Z112" s="138">
        <f t="shared" si="88"/>
        <v>6.1913693019964494E-2</v>
      </c>
      <c r="AA112" s="144"/>
      <c r="AB112" s="140" t="str">
        <f t="shared" si="89"/>
        <v>H28年建築物省エネルギー法</v>
      </c>
      <c r="AC112" s="103" t="s">
        <v>346</v>
      </c>
      <c r="AD112" s="103" t="s">
        <v>410</v>
      </c>
      <c r="AE112" s="103" t="s">
        <v>384</v>
      </c>
      <c r="AF112" s="103" t="s">
        <v>400</v>
      </c>
    </row>
    <row r="113" spans="1:32" ht="14.2" customHeight="1" x14ac:dyDescent="0.25">
      <c r="A113" s="128" t="s">
        <v>318</v>
      </c>
      <c r="B113" s="145">
        <v>0.24099999999999999</v>
      </c>
      <c r="C113" s="364">
        <v>10</v>
      </c>
      <c r="D113" s="157">
        <v>2.52E-2</v>
      </c>
      <c r="E113" s="382">
        <v>11</v>
      </c>
      <c r="F113" s="131">
        <v>52.5</v>
      </c>
      <c r="G113" s="382">
        <v>11</v>
      </c>
      <c r="H113" s="132">
        <v>12.5</v>
      </c>
      <c r="I113" s="129">
        <f t="shared" si="85"/>
        <v>5.1867219917012451E-2</v>
      </c>
      <c r="J113" s="364">
        <v>90</v>
      </c>
      <c r="K113" s="157">
        <f t="shared" si="93"/>
        <v>3.1500000000000001E-4</v>
      </c>
      <c r="L113" s="382">
        <v>90</v>
      </c>
      <c r="M113" s="133">
        <f t="shared" si="94"/>
        <v>0.65625</v>
      </c>
      <c r="N113" s="383">
        <v>90</v>
      </c>
      <c r="O113" s="134">
        <v>830</v>
      </c>
      <c r="P113" s="428">
        <v>11</v>
      </c>
      <c r="Q113" s="135">
        <f t="shared" si="92"/>
        <v>1.1066666666666667</v>
      </c>
      <c r="R113" s="428">
        <v>90</v>
      </c>
      <c r="S113" s="135">
        <v>750</v>
      </c>
      <c r="T113" s="428">
        <v>22</v>
      </c>
      <c r="U113" s="135">
        <v>7.0000000000000007E-2</v>
      </c>
      <c r="V113" s="428">
        <v>11</v>
      </c>
      <c r="W113" s="136">
        <f t="shared" si="86"/>
        <v>447.24713526192653</v>
      </c>
      <c r="X113" s="137">
        <f t="shared" si="82"/>
        <v>2.903614457831325</v>
      </c>
      <c r="Y113" s="138">
        <f t="shared" si="87"/>
        <v>4.9530954415971591</v>
      </c>
      <c r="Z113" s="138">
        <f t="shared" si="88"/>
        <v>6.1913693019964494E-2</v>
      </c>
      <c r="AA113" s="144"/>
      <c r="AB113" s="140" t="str">
        <f t="shared" si="89"/>
        <v>H28年建築物省エネルギー法</v>
      </c>
      <c r="AC113" s="103" t="s">
        <v>346</v>
      </c>
      <c r="AD113" s="103" t="s">
        <v>410</v>
      </c>
      <c r="AE113" s="103" t="s">
        <v>384</v>
      </c>
      <c r="AF113" s="103" t="s">
        <v>400</v>
      </c>
    </row>
    <row r="114" spans="1:32" ht="14.2" customHeight="1" x14ac:dyDescent="0.25">
      <c r="A114" s="128" t="s">
        <v>319</v>
      </c>
      <c r="B114" s="145">
        <v>0.24099999999999999</v>
      </c>
      <c r="C114" s="364">
        <v>10</v>
      </c>
      <c r="D114" s="157">
        <v>2.52E-2</v>
      </c>
      <c r="E114" s="382">
        <v>11</v>
      </c>
      <c r="F114" s="131">
        <v>52.5</v>
      </c>
      <c r="G114" s="382">
        <v>11</v>
      </c>
      <c r="H114" s="132">
        <v>12.5</v>
      </c>
      <c r="I114" s="129">
        <f t="shared" si="85"/>
        <v>5.1867219917012451E-2</v>
      </c>
      <c r="J114" s="364">
        <v>90</v>
      </c>
      <c r="K114" s="157">
        <f t="shared" si="93"/>
        <v>3.1500000000000001E-4</v>
      </c>
      <c r="L114" s="382">
        <v>90</v>
      </c>
      <c r="M114" s="133">
        <f t="shared" si="94"/>
        <v>0.65625</v>
      </c>
      <c r="N114" s="383">
        <v>90</v>
      </c>
      <c r="O114" s="134">
        <v>830</v>
      </c>
      <c r="P114" s="428">
        <v>11</v>
      </c>
      <c r="Q114" s="135">
        <f t="shared" si="92"/>
        <v>1.1066666666666667</v>
      </c>
      <c r="R114" s="428">
        <v>90</v>
      </c>
      <c r="S114" s="135">
        <v>750</v>
      </c>
      <c r="T114" s="428">
        <v>22</v>
      </c>
      <c r="U114" s="135">
        <v>7.0000000000000007E-2</v>
      </c>
      <c r="V114" s="428">
        <v>11</v>
      </c>
      <c r="W114" s="136">
        <f t="shared" si="86"/>
        <v>447.24713526192653</v>
      </c>
      <c r="X114" s="137">
        <f t="shared" si="82"/>
        <v>2.903614457831325</v>
      </c>
      <c r="Y114" s="138">
        <f t="shared" si="87"/>
        <v>4.9530954415971591</v>
      </c>
      <c r="Z114" s="138">
        <f t="shared" si="88"/>
        <v>6.1913693019964494E-2</v>
      </c>
      <c r="AA114" s="144"/>
      <c r="AB114" s="140" t="str">
        <f t="shared" si="89"/>
        <v>H28年建築物省エネルギー法</v>
      </c>
      <c r="AC114" s="103" t="s">
        <v>346</v>
      </c>
      <c r="AD114" s="103" t="s">
        <v>410</v>
      </c>
      <c r="AE114" s="103" t="s">
        <v>384</v>
      </c>
      <c r="AF114" s="103" t="s">
        <v>400</v>
      </c>
    </row>
    <row r="115" spans="1:32" ht="14.2" customHeight="1" x14ac:dyDescent="0.25">
      <c r="A115" s="128" t="s">
        <v>320</v>
      </c>
      <c r="B115" s="145">
        <v>0.36599999999999999</v>
      </c>
      <c r="C115" s="364">
        <v>10</v>
      </c>
      <c r="D115" s="157">
        <v>2.52E-2</v>
      </c>
      <c r="E115" s="382">
        <v>11</v>
      </c>
      <c r="F115" s="131">
        <v>52.5</v>
      </c>
      <c r="G115" s="382">
        <v>11</v>
      </c>
      <c r="H115" s="132">
        <v>12.5</v>
      </c>
      <c r="I115" s="129">
        <f t="shared" si="85"/>
        <v>3.4153005464480878E-2</v>
      </c>
      <c r="J115" s="364">
        <v>90</v>
      </c>
      <c r="K115" s="157">
        <f t="shared" si="93"/>
        <v>3.1500000000000001E-4</v>
      </c>
      <c r="L115" s="382">
        <v>90</v>
      </c>
      <c r="M115" s="133">
        <f t="shared" si="94"/>
        <v>0.65625</v>
      </c>
      <c r="N115" s="383">
        <v>90</v>
      </c>
      <c r="O115" s="134">
        <v>830</v>
      </c>
      <c r="P115" s="428">
        <v>11</v>
      </c>
      <c r="Q115" s="135">
        <f t="shared" si="92"/>
        <v>1.1066666666666667</v>
      </c>
      <c r="R115" s="428">
        <v>90</v>
      </c>
      <c r="S115" s="135">
        <v>750</v>
      </c>
      <c r="T115" s="428">
        <v>22</v>
      </c>
      <c r="U115" s="135">
        <v>7.0000000000000007E-2</v>
      </c>
      <c r="V115" s="428">
        <v>11</v>
      </c>
      <c r="W115" s="136">
        <f t="shared" si="86"/>
        <v>551.1624080069322</v>
      </c>
      <c r="X115" s="137">
        <f t="shared" si="82"/>
        <v>4.4096385542168672</v>
      </c>
      <c r="Y115" s="138">
        <f t="shared" si="87"/>
        <v>4.9530954415971591</v>
      </c>
      <c r="Z115" s="138">
        <f t="shared" si="88"/>
        <v>6.1913693019964494E-2</v>
      </c>
      <c r="AA115" s="154"/>
      <c r="AB115" s="140" t="str">
        <f t="shared" si="89"/>
        <v>H28年建築物省エネルギー法</v>
      </c>
      <c r="AC115" s="103" t="s">
        <v>346</v>
      </c>
      <c r="AD115" s="103" t="s">
        <v>410</v>
      </c>
      <c r="AE115" s="103" t="s">
        <v>384</v>
      </c>
      <c r="AF115" s="103" t="s">
        <v>400</v>
      </c>
    </row>
    <row r="116" spans="1:32" ht="14.2" customHeight="1" x14ac:dyDescent="0.25">
      <c r="A116" s="128" t="s">
        <v>321</v>
      </c>
      <c r="B116" s="145">
        <v>0.18</v>
      </c>
      <c r="C116" s="364">
        <v>10</v>
      </c>
      <c r="D116" s="157">
        <v>1.9199999999999998E-2</v>
      </c>
      <c r="E116" s="382">
        <v>11</v>
      </c>
      <c r="F116" s="131">
        <v>40</v>
      </c>
      <c r="G116" s="382">
        <v>11</v>
      </c>
      <c r="H116" s="132">
        <v>6</v>
      </c>
      <c r="I116" s="129">
        <f t="shared" si="85"/>
        <v>3.3333333333333333E-2</v>
      </c>
      <c r="J116" s="364">
        <v>90</v>
      </c>
      <c r="K116" s="157">
        <f t="shared" si="93"/>
        <v>1.1519999999999999E-4</v>
      </c>
      <c r="L116" s="382">
        <v>90</v>
      </c>
      <c r="M116" s="133">
        <f t="shared" si="94"/>
        <v>0.24</v>
      </c>
      <c r="N116" s="383">
        <v>90</v>
      </c>
      <c r="O116" s="134">
        <v>684.00099999999998</v>
      </c>
      <c r="P116" s="428">
        <v>62</v>
      </c>
      <c r="Q116" s="135">
        <f t="shared" ref="Q116:Q117" si="95">O116/S116</f>
        <v>0.85500124999999993</v>
      </c>
      <c r="R116" s="428">
        <v>90</v>
      </c>
      <c r="S116" s="135">
        <v>800</v>
      </c>
      <c r="T116" s="428">
        <v>71</v>
      </c>
      <c r="U116" s="135">
        <f>((B116/O116)/($B$194/$O$194))*0.2</f>
        <v>6.5789377500910087E-2</v>
      </c>
      <c r="V116" s="428">
        <v>90</v>
      </c>
      <c r="W116" s="136">
        <f t="shared" si="86"/>
        <v>350.88485290761696</v>
      </c>
      <c r="X116" s="137">
        <f t="shared" si="82"/>
        <v>2.6315751000364038</v>
      </c>
      <c r="Y116" s="138">
        <f t="shared" si="87"/>
        <v>3.7737870031216452</v>
      </c>
      <c r="Z116" s="138">
        <f t="shared" si="88"/>
        <v>2.2642722018729872E-2</v>
      </c>
      <c r="AA116" s="154"/>
      <c r="AB116" s="140" t="str">
        <f t="shared" si="89"/>
        <v>H28年建築物省エネルギー法</v>
      </c>
      <c r="AC116" s="103" t="s">
        <v>346</v>
      </c>
      <c r="AD116" s="140" t="str">
        <f>VLOOKUP(P116,$B$399:$C$431,2,FALSE)</f>
        <v>SolarDesigner6マニュアル</v>
      </c>
      <c r="AE116" s="103" t="s">
        <v>385</v>
      </c>
      <c r="AF116" s="103" t="s">
        <v>402</v>
      </c>
    </row>
    <row r="117" spans="1:32" ht="14.2" customHeight="1" x14ac:dyDescent="0.25">
      <c r="A117" s="128" t="s">
        <v>322</v>
      </c>
      <c r="B117" s="145">
        <v>0.24</v>
      </c>
      <c r="C117" s="364">
        <v>10</v>
      </c>
      <c r="D117" s="157">
        <v>1.9199999999999998E-2</v>
      </c>
      <c r="E117" s="382">
        <v>11</v>
      </c>
      <c r="F117" s="131">
        <v>40</v>
      </c>
      <c r="G117" s="382">
        <v>11</v>
      </c>
      <c r="H117" s="132">
        <v>6</v>
      </c>
      <c r="I117" s="129">
        <f t="shared" si="85"/>
        <v>2.5000000000000001E-2</v>
      </c>
      <c r="J117" s="364">
        <v>90</v>
      </c>
      <c r="K117" s="157">
        <f t="shared" si="93"/>
        <v>1.1519999999999999E-4</v>
      </c>
      <c r="L117" s="382">
        <v>90</v>
      </c>
      <c r="M117" s="133">
        <f t="shared" si="94"/>
        <v>0.24</v>
      </c>
      <c r="N117" s="383">
        <v>90</v>
      </c>
      <c r="O117" s="134">
        <v>684.00099999999998</v>
      </c>
      <c r="P117" s="428">
        <v>62</v>
      </c>
      <c r="Q117" s="135">
        <f t="shared" si="95"/>
        <v>0.85500124999999993</v>
      </c>
      <c r="R117" s="428">
        <v>90</v>
      </c>
      <c r="S117" s="135">
        <v>800</v>
      </c>
      <c r="T117" s="428">
        <v>71</v>
      </c>
      <c r="U117" s="135">
        <f>((B117/O117)/($B$194/$O$194))*0.2</f>
        <v>8.7719170001213445E-2</v>
      </c>
      <c r="V117" s="428">
        <v>90</v>
      </c>
      <c r="W117" s="136">
        <f t="shared" si="86"/>
        <v>405.16692856154981</v>
      </c>
      <c r="X117" s="137">
        <f t="shared" si="82"/>
        <v>3.5087668000485377</v>
      </c>
      <c r="Y117" s="138">
        <f t="shared" si="87"/>
        <v>3.7737870031216452</v>
      </c>
      <c r="Z117" s="138">
        <f t="shared" si="88"/>
        <v>2.2642722018729872E-2</v>
      </c>
      <c r="AA117" s="154"/>
      <c r="AB117" s="140" t="str">
        <f t="shared" si="89"/>
        <v>H28年建築物省エネルギー法</v>
      </c>
      <c r="AC117" s="103" t="s">
        <v>346</v>
      </c>
      <c r="AD117" s="140" t="str">
        <f>VLOOKUP(P117,$B$399:$C$431,2,FALSE)</f>
        <v>SolarDesigner6マニュアル</v>
      </c>
      <c r="AE117" s="103" t="s">
        <v>385</v>
      </c>
      <c r="AF117" s="103" t="s">
        <v>402</v>
      </c>
    </row>
    <row r="118" spans="1:32" ht="14.2" customHeight="1" x14ac:dyDescent="0.25">
      <c r="A118" s="167" t="s">
        <v>418</v>
      </c>
      <c r="B118" s="145">
        <v>0.35</v>
      </c>
      <c r="C118" s="364">
        <v>10</v>
      </c>
      <c r="D118" s="157">
        <v>0.48</v>
      </c>
      <c r="E118" s="382">
        <v>11</v>
      </c>
      <c r="F118" s="131">
        <v>1000</v>
      </c>
      <c r="G118" s="382">
        <v>11</v>
      </c>
      <c r="H118" s="132">
        <v>15</v>
      </c>
      <c r="I118" s="129">
        <f t="shared" si="85"/>
        <v>4.2857142857142864E-2</v>
      </c>
      <c r="J118" s="364">
        <v>90</v>
      </c>
      <c r="K118" s="157">
        <f t="shared" si="93"/>
        <v>7.1999999999999989E-3</v>
      </c>
      <c r="L118" s="382">
        <v>90</v>
      </c>
      <c r="M118" s="133">
        <f t="shared" si="94"/>
        <v>15</v>
      </c>
      <c r="N118" s="383">
        <v>90</v>
      </c>
      <c r="O118" s="134"/>
      <c r="P118" s="428"/>
      <c r="Q118" s="135"/>
      <c r="R118" s="428"/>
      <c r="S118" s="135"/>
      <c r="T118" s="428"/>
      <c r="U118" s="135"/>
      <c r="V118" s="428"/>
      <c r="W118" s="136">
        <f t="shared" si="86"/>
        <v>0</v>
      </c>
      <c r="X118" s="137"/>
      <c r="Y118" s="138">
        <f t="shared" si="87"/>
        <v>94.344675078041121</v>
      </c>
      <c r="Z118" s="138">
        <f t="shared" si="88"/>
        <v>1.4151701261706167</v>
      </c>
      <c r="AA118" s="144"/>
      <c r="AB118" s="140" t="str">
        <f t="shared" si="89"/>
        <v>H28年建築物省エネルギー法</v>
      </c>
      <c r="AC118" s="103" t="s">
        <v>346</v>
      </c>
      <c r="AD118" s="140"/>
      <c r="AF118" s="103" t="s">
        <v>402</v>
      </c>
    </row>
    <row r="119" spans="1:32" ht="14.2" customHeight="1" x14ac:dyDescent="0.25">
      <c r="A119" s="167" t="s">
        <v>417</v>
      </c>
      <c r="B119" s="145">
        <v>0.35</v>
      </c>
      <c r="C119" s="364">
        <v>10</v>
      </c>
      <c r="D119" s="157">
        <v>1.44</v>
      </c>
      <c r="E119" s="383">
        <v>22</v>
      </c>
      <c r="F119" s="131">
        <f t="shared" ref="F119" si="96">D119/(3600*10^-9/760*1.013*10^5)</f>
        <v>3000.9871668311948</v>
      </c>
      <c r="G119" s="384">
        <v>90</v>
      </c>
      <c r="H119" s="132">
        <v>15</v>
      </c>
      <c r="I119" s="129">
        <f t="shared" si="85"/>
        <v>4.2857142857142864E-2</v>
      </c>
      <c r="J119" s="364">
        <v>90</v>
      </c>
      <c r="K119" s="157">
        <f t="shared" ref="K119" si="97">D119*H119/1000</f>
        <v>2.1599999999999998E-2</v>
      </c>
      <c r="L119" s="382">
        <v>90</v>
      </c>
      <c r="M119" s="133">
        <f t="shared" ref="M119" si="98">F119*H119/1000</f>
        <v>45.014807502467917</v>
      </c>
      <c r="N119" s="383">
        <v>90</v>
      </c>
      <c r="O119" s="134"/>
      <c r="P119" s="428"/>
      <c r="Q119" s="135"/>
      <c r="R119" s="428"/>
      <c r="S119" s="135"/>
      <c r="T119" s="428"/>
      <c r="U119" s="135"/>
      <c r="V119" s="428"/>
      <c r="W119" s="136">
        <f t="shared" si="86"/>
        <v>0</v>
      </c>
      <c r="X119" s="137"/>
      <c r="Y119" s="138">
        <f t="shared" si="87"/>
        <v>283.03402523412336</v>
      </c>
      <c r="Z119" s="138">
        <f t="shared" si="88"/>
        <v>4.2455103785118506</v>
      </c>
      <c r="AA119" s="144"/>
      <c r="AB119" s="140" t="str">
        <f t="shared" si="89"/>
        <v>H28年建築物省エネルギー法</v>
      </c>
      <c r="AC119" s="103" t="s">
        <v>416</v>
      </c>
      <c r="AD119" s="140"/>
    </row>
    <row r="120" spans="1:32" ht="14.2" customHeight="1" x14ac:dyDescent="0.25">
      <c r="A120" s="167" t="s">
        <v>153</v>
      </c>
      <c r="B120" s="145">
        <v>0.2</v>
      </c>
      <c r="C120" s="364">
        <v>21</v>
      </c>
      <c r="D120" s="157">
        <f>F120*3600*10^-9/760*1.013*10^5</f>
        <v>479842.10478331579</v>
      </c>
      <c r="E120" s="383">
        <v>90</v>
      </c>
      <c r="F120" s="178">
        <v>999999999</v>
      </c>
      <c r="G120" s="386">
        <v>99</v>
      </c>
      <c r="H120" s="132">
        <v>6</v>
      </c>
      <c r="I120" s="129">
        <f t="shared" si="85"/>
        <v>0.03</v>
      </c>
      <c r="J120" s="364">
        <v>90</v>
      </c>
      <c r="K120" s="157">
        <f>D120*H120/1000</f>
        <v>2879.0526286998952</v>
      </c>
      <c r="L120" s="382">
        <v>90</v>
      </c>
      <c r="M120" s="133"/>
      <c r="N120" s="386"/>
      <c r="O120" s="179"/>
      <c r="P120" s="432"/>
      <c r="Q120" s="180"/>
      <c r="R120" s="432"/>
      <c r="S120" s="180">
        <v>1050</v>
      </c>
      <c r="T120" s="428">
        <v>22</v>
      </c>
      <c r="U120" s="135"/>
      <c r="V120" s="432"/>
      <c r="W120" s="136">
        <f t="shared" si="86"/>
        <v>0</v>
      </c>
      <c r="X120" s="137"/>
      <c r="Y120" s="138">
        <f t="shared" si="87"/>
        <v>94313640.551136047</v>
      </c>
      <c r="Z120" s="138">
        <f t="shared" si="88"/>
        <v>565881.8433068163</v>
      </c>
      <c r="AA120" s="144"/>
      <c r="AB120" s="140" t="str">
        <f t="shared" si="89"/>
        <v>「H25年省エネ基準解説」IBEC</v>
      </c>
      <c r="AC120" s="140" t="str">
        <f>VLOOKUP(G120,$B$399:$C$431,2,FALSE)</f>
        <v>推測値</v>
      </c>
      <c r="AD120" s="140"/>
    </row>
    <row r="121" spans="1:32" ht="14.2" customHeight="1" x14ac:dyDescent="0.25">
      <c r="A121" s="167" t="s">
        <v>72</v>
      </c>
      <c r="B121" s="145">
        <v>0.17</v>
      </c>
      <c r="C121" s="364">
        <v>22</v>
      </c>
      <c r="D121" s="157">
        <f>F121*3600*10^-9/760*1.013*10^5</f>
        <v>479842.10478331579</v>
      </c>
      <c r="E121" s="383">
        <v>90</v>
      </c>
      <c r="F121" s="178">
        <v>999999999</v>
      </c>
      <c r="G121" s="386">
        <v>99</v>
      </c>
      <c r="H121" s="132">
        <v>6</v>
      </c>
      <c r="I121" s="129">
        <f t="shared" si="85"/>
        <v>3.5294117647058816E-2</v>
      </c>
      <c r="J121" s="364">
        <v>90</v>
      </c>
      <c r="K121" s="157">
        <f>D121*H121/1000</f>
        <v>2879.0526286998952</v>
      </c>
      <c r="L121" s="414">
        <v>90</v>
      </c>
      <c r="M121" s="133"/>
      <c r="N121" s="386"/>
      <c r="O121" s="179"/>
      <c r="P121" s="432"/>
      <c r="Q121" s="180"/>
      <c r="R121" s="432"/>
      <c r="S121" s="180">
        <v>1390</v>
      </c>
      <c r="T121" s="428">
        <v>22</v>
      </c>
      <c r="U121" s="135"/>
      <c r="V121" s="432"/>
      <c r="W121" s="136">
        <f t="shared" si="86"/>
        <v>0</v>
      </c>
      <c r="X121" s="137"/>
      <c r="Y121" s="138">
        <f t="shared" si="87"/>
        <v>94313640.551136047</v>
      </c>
      <c r="Z121" s="138">
        <f t="shared" si="88"/>
        <v>565881.8433068163</v>
      </c>
      <c r="AA121" s="144"/>
      <c r="AB121" s="140" t="str">
        <f t="shared" si="89"/>
        <v>「H11年省エネ基準解説」IBEC</v>
      </c>
      <c r="AC121" s="140" t="str">
        <f>VLOOKUP(G121,$B$399:$C$431,2,FALSE)</f>
        <v>推測値</v>
      </c>
      <c r="AD121" s="140"/>
    </row>
    <row r="122" spans="1:32" ht="14.2" customHeight="1" x14ac:dyDescent="0.25">
      <c r="A122" s="167" t="s">
        <v>154</v>
      </c>
      <c r="B122" s="145">
        <v>0.3</v>
      </c>
      <c r="C122" s="364">
        <v>22</v>
      </c>
      <c r="D122" s="157">
        <f>F122*3600*10^-9/760*1.013*10^5</f>
        <v>479842.10478331579</v>
      </c>
      <c r="E122" s="383">
        <v>90</v>
      </c>
      <c r="F122" s="178">
        <v>999999999</v>
      </c>
      <c r="G122" s="386">
        <v>99</v>
      </c>
      <c r="H122" s="132">
        <v>6</v>
      </c>
      <c r="I122" s="129">
        <f t="shared" si="85"/>
        <v>0.02</v>
      </c>
      <c r="J122" s="364">
        <v>90</v>
      </c>
      <c r="K122" s="157">
        <f>D122*H122/1000</f>
        <v>2879.0526286998952</v>
      </c>
      <c r="L122" s="382">
        <v>90</v>
      </c>
      <c r="M122" s="133"/>
      <c r="N122" s="386"/>
      <c r="O122" s="179"/>
      <c r="P122" s="432"/>
      <c r="Q122" s="180"/>
      <c r="R122" s="432"/>
      <c r="S122" s="180"/>
      <c r="T122" s="432"/>
      <c r="U122" s="135"/>
      <c r="V122" s="432"/>
      <c r="W122" s="136">
        <f t="shared" si="86"/>
        <v>0</v>
      </c>
      <c r="X122" s="137"/>
      <c r="Y122" s="138">
        <f t="shared" si="87"/>
        <v>94313640.551136047</v>
      </c>
      <c r="Z122" s="138">
        <f t="shared" si="88"/>
        <v>565881.8433068163</v>
      </c>
      <c r="AA122" s="144"/>
      <c r="AB122" s="140" t="str">
        <f t="shared" si="89"/>
        <v>「H11年省エネ基準解説」IBEC</v>
      </c>
      <c r="AC122" s="140" t="str">
        <f>VLOOKUP(G122,$B$399:$C$431,2,FALSE)</f>
        <v>推測値</v>
      </c>
      <c r="AD122" s="140"/>
    </row>
    <row r="123" spans="1:32" ht="14.2" customHeight="1" x14ac:dyDescent="0.25">
      <c r="A123" s="167" t="s">
        <v>155</v>
      </c>
      <c r="B123" s="145">
        <v>0.35</v>
      </c>
      <c r="C123" s="364">
        <v>22</v>
      </c>
      <c r="D123" s="157">
        <f>F123*3600*10^-9/760*1.013*10^5</f>
        <v>479842.10478331579</v>
      </c>
      <c r="E123" s="383">
        <v>90</v>
      </c>
      <c r="F123" s="178">
        <v>999999999</v>
      </c>
      <c r="G123" s="386">
        <v>99</v>
      </c>
      <c r="H123" s="132">
        <v>6</v>
      </c>
      <c r="I123" s="129">
        <f t="shared" si="85"/>
        <v>1.7142857142857144E-2</v>
      </c>
      <c r="J123" s="364">
        <v>90</v>
      </c>
      <c r="K123" s="157">
        <f>D123*H123/1000</f>
        <v>2879.0526286998952</v>
      </c>
      <c r="L123" s="414">
        <v>90</v>
      </c>
      <c r="M123" s="133"/>
      <c r="N123" s="386"/>
      <c r="O123" s="179"/>
      <c r="P123" s="432"/>
      <c r="Q123" s="180"/>
      <c r="R123" s="432"/>
      <c r="S123" s="180">
        <v>1200</v>
      </c>
      <c r="T123" s="428">
        <v>22</v>
      </c>
      <c r="U123" s="135"/>
      <c r="V123" s="432"/>
      <c r="W123" s="136">
        <f t="shared" si="86"/>
        <v>0</v>
      </c>
      <c r="X123" s="137"/>
      <c r="Y123" s="138">
        <f t="shared" si="87"/>
        <v>94313640.551136047</v>
      </c>
      <c r="Z123" s="138">
        <f t="shared" si="88"/>
        <v>565881.8433068163</v>
      </c>
      <c r="AA123" s="144"/>
      <c r="AB123" s="140" t="str">
        <f t="shared" si="89"/>
        <v>「H11年省エネ基準解説」IBEC</v>
      </c>
      <c r="AC123" s="140" t="str">
        <f>VLOOKUP(G123,$B$399:$C$431,2,FALSE)</f>
        <v>推測値</v>
      </c>
      <c r="AD123" s="140"/>
    </row>
    <row r="124" spans="1:32" ht="14.2" customHeight="1" x14ac:dyDescent="0.25">
      <c r="A124" s="167" t="s">
        <v>156</v>
      </c>
      <c r="B124" s="145">
        <v>0.24</v>
      </c>
      <c r="C124" s="364">
        <v>22</v>
      </c>
      <c r="D124" s="157">
        <f>F124*3600*10^-9/760*1.013*10^5</f>
        <v>479842.10478331579</v>
      </c>
      <c r="E124" s="383">
        <v>90</v>
      </c>
      <c r="F124" s="178">
        <v>999999999</v>
      </c>
      <c r="G124" s="386">
        <v>99</v>
      </c>
      <c r="H124" s="132">
        <v>6</v>
      </c>
      <c r="I124" s="129">
        <f t="shared" si="85"/>
        <v>2.5000000000000001E-2</v>
      </c>
      <c r="J124" s="364">
        <v>90</v>
      </c>
      <c r="K124" s="157">
        <f>D124*H124/1000</f>
        <v>2879.0526286998952</v>
      </c>
      <c r="L124" s="382">
        <v>90</v>
      </c>
      <c r="M124" s="133"/>
      <c r="N124" s="386"/>
      <c r="O124" s="179"/>
      <c r="P124" s="432"/>
      <c r="Q124" s="180"/>
      <c r="R124" s="432"/>
      <c r="S124" s="180">
        <v>1200</v>
      </c>
      <c r="T124" s="428">
        <v>22</v>
      </c>
      <c r="U124" s="135"/>
      <c r="V124" s="432"/>
      <c r="W124" s="136">
        <f t="shared" si="86"/>
        <v>0</v>
      </c>
      <c r="X124" s="137"/>
      <c r="Y124" s="138">
        <f t="shared" si="87"/>
        <v>94313640.551136047</v>
      </c>
      <c r="Z124" s="138">
        <f t="shared" si="88"/>
        <v>565881.8433068163</v>
      </c>
      <c r="AA124" s="453"/>
      <c r="AB124" s="140" t="str">
        <f t="shared" si="89"/>
        <v>「H11年省エネ基準解説」IBEC</v>
      </c>
      <c r="AC124" s="140" t="str">
        <f>VLOOKUP(G124,$B$399:$C$431,2,FALSE)</f>
        <v>推測値</v>
      </c>
      <c r="AD124" s="140"/>
    </row>
    <row r="125" spans="1:32" ht="14.2" customHeight="1" x14ac:dyDescent="0.25">
      <c r="A125" s="167" t="s">
        <v>142</v>
      </c>
      <c r="B125" s="145">
        <v>0.12</v>
      </c>
      <c r="C125" s="364">
        <v>22</v>
      </c>
      <c r="D125" s="157"/>
      <c r="E125" s="383"/>
      <c r="F125" s="131"/>
      <c r="G125" s="383"/>
      <c r="H125" s="132">
        <v>10</v>
      </c>
      <c r="I125" s="129">
        <f t="shared" ref="I125:I128" si="99">H125/B125/1000</f>
        <v>8.3333333333333343E-2</v>
      </c>
      <c r="J125" s="364">
        <v>90</v>
      </c>
      <c r="K125" s="157"/>
      <c r="L125" s="382"/>
      <c r="M125" s="133"/>
      <c r="N125" s="383"/>
      <c r="O125" s="134"/>
      <c r="P125" s="428"/>
      <c r="Q125" s="135"/>
      <c r="R125" s="428"/>
      <c r="S125" s="135">
        <v>500</v>
      </c>
      <c r="T125" s="428">
        <v>22</v>
      </c>
      <c r="U125" s="135"/>
      <c r="V125" s="428"/>
      <c r="W125" s="136">
        <f t="shared" si="86"/>
        <v>0</v>
      </c>
      <c r="X125" s="137"/>
      <c r="Y125" s="138"/>
      <c r="Z125" s="138"/>
      <c r="AA125" s="453"/>
      <c r="AB125" s="140" t="str">
        <f t="shared" si="89"/>
        <v>「H11年省エネ基準解説」IBEC</v>
      </c>
      <c r="AC125" s="140"/>
      <c r="AD125" s="140"/>
    </row>
    <row r="126" spans="1:32" ht="14.2" customHeight="1" x14ac:dyDescent="0.25">
      <c r="A126" s="167" t="s">
        <v>44</v>
      </c>
      <c r="B126" s="181">
        <v>5.6000000000000001E-2</v>
      </c>
      <c r="C126" s="369">
        <v>51</v>
      </c>
      <c r="D126" s="157"/>
      <c r="E126" s="383"/>
      <c r="F126" s="182"/>
      <c r="G126" s="386"/>
      <c r="H126" s="132">
        <v>30</v>
      </c>
      <c r="I126" s="129">
        <f t="shared" si="99"/>
        <v>0.5357142857142857</v>
      </c>
      <c r="J126" s="364">
        <v>90</v>
      </c>
      <c r="K126" s="157"/>
      <c r="L126" s="382"/>
      <c r="M126" s="133"/>
      <c r="N126" s="383"/>
      <c r="O126" s="183">
        <v>400</v>
      </c>
      <c r="P126" s="432">
        <v>53</v>
      </c>
      <c r="Q126" s="135">
        <f t="shared" ref="Q126" si="100">O126/S126</f>
        <v>1.6</v>
      </c>
      <c r="R126" s="428">
        <v>90</v>
      </c>
      <c r="S126" s="184">
        <v>250</v>
      </c>
      <c r="T126" s="432">
        <v>51</v>
      </c>
      <c r="U126" s="135">
        <f>((B126/O126)/($B$194/$O$194))*0.2</f>
        <v>3.5000000000000003E-2</v>
      </c>
      <c r="V126" s="432">
        <v>90</v>
      </c>
      <c r="W126" s="136">
        <f t="shared" si="86"/>
        <v>149.66629547095766</v>
      </c>
      <c r="X126" s="137">
        <f t="shared" si="82"/>
        <v>1.4000000000000001</v>
      </c>
      <c r="Y126" s="138"/>
      <c r="Z126" s="138"/>
      <c r="AA126" s="453"/>
      <c r="AB126" s="140" t="str">
        <f t="shared" si="89"/>
        <v>「建物の結露」学芸出版社 (2003/04)</v>
      </c>
      <c r="AC126" s="140"/>
      <c r="AD126" s="140" t="str">
        <f>VLOOKUP(P126,$B$399:$C$431,2,FALSE)</f>
        <v>「最新建築環境工学」井上書院</v>
      </c>
    </row>
    <row r="127" spans="1:32" ht="14.2" customHeight="1" x14ac:dyDescent="0.25">
      <c r="A127" s="128" t="s">
        <v>270</v>
      </c>
      <c r="B127" s="145">
        <v>0.72</v>
      </c>
      <c r="C127" s="364">
        <v>63</v>
      </c>
      <c r="D127" s="157">
        <f t="shared" ref="D127" si="101">F127*3600*10^-9/760*1.013*10^5</f>
        <v>0.15994576894736845</v>
      </c>
      <c r="E127" s="383">
        <v>90</v>
      </c>
      <c r="F127" s="131">
        <v>333.33</v>
      </c>
      <c r="G127" s="383">
        <v>63</v>
      </c>
      <c r="H127" s="132">
        <v>10</v>
      </c>
      <c r="I127" s="129">
        <f t="shared" si="99"/>
        <v>1.388888888888889E-2</v>
      </c>
      <c r="J127" s="364">
        <v>90</v>
      </c>
      <c r="K127" s="157">
        <f t="shared" ref="K127" si="102">D127*H127/1000</f>
        <v>1.5994576894736844E-3</v>
      </c>
      <c r="L127" s="382">
        <v>90</v>
      </c>
      <c r="M127" s="133">
        <f t="shared" ref="M127" si="103">F127*H127/1000</f>
        <v>3.3332999999999999</v>
      </c>
      <c r="N127" s="383">
        <v>90</v>
      </c>
      <c r="O127" s="134"/>
      <c r="P127" s="428"/>
      <c r="Q127" s="135"/>
      <c r="R127" s="428"/>
      <c r="S127" s="135"/>
      <c r="T127" s="428"/>
      <c r="U127" s="135"/>
      <c r="V127" s="428"/>
      <c r="W127" s="136">
        <f t="shared" si="86"/>
        <v>0</v>
      </c>
      <c r="X127" s="137"/>
      <c r="Y127" s="138">
        <f t="shared" si="87"/>
        <v>31.437565836347744</v>
      </c>
      <c r="Z127" s="138">
        <f t="shared" si="88"/>
        <v>0.31437565836347747</v>
      </c>
      <c r="AA127" s="453"/>
      <c r="AB127" s="140" t="str">
        <f t="shared" si="89"/>
        <v>WinDEWマニュアル</v>
      </c>
      <c r="AC127" s="140" t="str">
        <f>VLOOKUP(G127,$B$399:$C$431,2,FALSE)</f>
        <v>WinDEWマニュアル</v>
      </c>
      <c r="AD127" s="140"/>
    </row>
    <row r="128" spans="1:32" ht="14.2" customHeight="1" x14ac:dyDescent="0.25">
      <c r="A128" s="128" t="s">
        <v>118</v>
      </c>
      <c r="B128" s="145">
        <v>0.70899999999999996</v>
      </c>
      <c r="C128" s="364">
        <v>50</v>
      </c>
      <c r="D128" s="157"/>
      <c r="E128" s="383"/>
      <c r="F128" s="131"/>
      <c r="G128" s="383"/>
      <c r="H128" s="132">
        <v>10</v>
      </c>
      <c r="I128" s="129">
        <f t="shared" si="99"/>
        <v>1.4104372355430184E-2</v>
      </c>
      <c r="J128" s="364">
        <v>90</v>
      </c>
      <c r="K128" s="157"/>
      <c r="L128" s="382"/>
      <c r="M128" s="133"/>
      <c r="N128" s="383"/>
      <c r="O128" s="134"/>
      <c r="P128" s="428"/>
      <c r="Q128" s="135"/>
      <c r="R128" s="428"/>
      <c r="S128" s="135">
        <v>1710</v>
      </c>
      <c r="T128" s="428">
        <v>50</v>
      </c>
      <c r="U128" s="135"/>
      <c r="V128" s="428"/>
      <c r="W128" s="136">
        <f t="shared" si="86"/>
        <v>0</v>
      </c>
      <c r="X128" s="137"/>
      <c r="Y128" s="138"/>
      <c r="Z128" s="138"/>
      <c r="AA128" s="453"/>
      <c r="AB128" s="140" t="str">
        <f t="shared" si="89"/>
        <v>「建築の結露」井上書院</v>
      </c>
      <c r="AC128" s="140"/>
      <c r="AD128" s="140"/>
    </row>
    <row r="129" spans="1:30" ht="14.2" customHeight="1" x14ac:dyDescent="0.25">
      <c r="A129" s="128" t="s">
        <v>51</v>
      </c>
      <c r="B129" s="145">
        <v>0.67500000000000004</v>
      </c>
      <c r="C129" s="364">
        <v>50</v>
      </c>
      <c r="D129" s="157"/>
      <c r="E129" s="383"/>
      <c r="F129" s="131"/>
      <c r="G129" s="383"/>
      <c r="H129" s="132">
        <v>10</v>
      </c>
      <c r="I129" s="129">
        <f t="shared" ref="I129:I132" si="104">H129/B129/1000</f>
        <v>1.4814814814814814E-2</v>
      </c>
      <c r="J129" s="364">
        <v>90</v>
      </c>
      <c r="K129" s="157"/>
      <c r="L129" s="382"/>
      <c r="M129" s="133"/>
      <c r="N129" s="383"/>
      <c r="O129" s="134"/>
      <c r="P129" s="428"/>
      <c r="Q129" s="135"/>
      <c r="R129" s="428"/>
      <c r="S129" s="135">
        <v>1280</v>
      </c>
      <c r="T129" s="428">
        <v>50</v>
      </c>
      <c r="U129" s="135"/>
      <c r="V129" s="428"/>
      <c r="W129" s="136">
        <f t="shared" si="86"/>
        <v>0</v>
      </c>
      <c r="X129" s="137"/>
      <c r="Y129" s="138"/>
      <c r="Z129" s="138"/>
      <c r="AA129" s="453"/>
      <c r="AB129" s="140" t="str">
        <f t="shared" si="89"/>
        <v>「建築の結露」井上書院</v>
      </c>
      <c r="AC129" s="140"/>
      <c r="AD129" s="140"/>
    </row>
    <row r="130" spans="1:30" ht="14.2" customHeight="1" x14ac:dyDescent="0.25">
      <c r="A130" s="128" t="s">
        <v>117</v>
      </c>
      <c r="B130" s="145">
        <v>0.54700000000000004</v>
      </c>
      <c r="C130" s="364">
        <v>50</v>
      </c>
      <c r="D130" s="157"/>
      <c r="E130" s="383"/>
      <c r="F130" s="131"/>
      <c r="G130" s="383"/>
      <c r="H130" s="132">
        <v>10</v>
      </c>
      <c r="I130" s="129">
        <f t="shared" si="104"/>
        <v>1.8281535648994512E-2</v>
      </c>
      <c r="J130" s="364">
        <v>90</v>
      </c>
      <c r="K130" s="157"/>
      <c r="L130" s="382"/>
      <c r="M130" s="133"/>
      <c r="N130" s="383"/>
      <c r="O130" s="134"/>
      <c r="P130" s="428"/>
      <c r="Q130" s="135"/>
      <c r="R130" s="428"/>
      <c r="S130" s="135">
        <v>1390</v>
      </c>
      <c r="T130" s="428">
        <v>50</v>
      </c>
      <c r="U130" s="135"/>
      <c r="V130" s="428"/>
      <c r="W130" s="136">
        <f t="shared" si="86"/>
        <v>0</v>
      </c>
      <c r="X130" s="137"/>
      <c r="Y130" s="138"/>
      <c r="Z130" s="138"/>
      <c r="AA130" s="453"/>
      <c r="AB130" s="140" t="str">
        <f t="shared" si="89"/>
        <v>「建築の結露」井上書院</v>
      </c>
      <c r="AC130" s="140"/>
      <c r="AD130" s="140"/>
    </row>
    <row r="131" spans="1:30" ht="14.2" customHeight="1" x14ac:dyDescent="0.25">
      <c r="A131" s="128" t="s">
        <v>486</v>
      </c>
      <c r="B131" s="145">
        <v>5.8000000000000003E-2</v>
      </c>
      <c r="C131" s="364">
        <v>62</v>
      </c>
      <c r="D131" s="157"/>
      <c r="E131" s="383"/>
      <c r="F131" s="131"/>
      <c r="G131" s="383"/>
      <c r="H131" s="132">
        <v>15</v>
      </c>
      <c r="I131" s="129">
        <f t="shared" si="104"/>
        <v>0.25862068965517238</v>
      </c>
      <c r="J131" s="364">
        <v>90</v>
      </c>
      <c r="K131" s="157"/>
      <c r="L131" s="382"/>
      <c r="M131" s="133"/>
      <c r="N131" s="383"/>
      <c r="O131" s="134">
        <v>336</v>
      </c>
      <c r="P131" s="428">
        <v>62</v>
      </c>
      <c r="Q131" s="135"/>
      <c r="R131" s="428"/>
      <c r="S131" s="135"/>
      <c r="T131" s="428"/>
      <c r="U131" s="135">
        <f>((B131/O131)/($B$194/$O$194))*0.2</f>
        <v>4.3154761904761904E-2</v>
      </c>
      <c r="V131" s="428">
        <v>90</v>
      </c>
      <c r="W131" s="136">
        <f t="shared" si="86"/>
        <v>139.59942693292118</v>
      </c>
      <c r="X131" s="137">
        <f t="shared" si="82"/>
        <v>1.7261904761904761</v>
      </c>
      <c r="Y131" s="138"/>
      <c r="Z131" s="138"/>
      <c r="AA131" s="453"/>
      <c r="AB131" s="103" t="s">
        <v>488</v>
      </c>
      <c r="AC131" s="140"/>
      <c r="AD131" s="140" t="str">
        <f>VLOOKUP(P131,$B$399:$C$431,2,FALSE)</f>
        <v>SolarDesigner6マニュアル</v>
      </c>
    </row>
    <row r="132" spans="1:30" ht="14.2" customHeight="1" x14ac:dyDescent="0.25">
      <c r="A132" s="128" t="s">
        <v>487</v>
      </c>
      <c r="B132" s="145">
        <v>3.7999999999999999E-2</v>
      </c>
      <c r="C132" s="364">
        <v>62</v>
      </c>
      <c r="D132" s="157"/>
      <c r="E132" s="383"/>
      <c r="F132" s="131"/>
      <c r="G132" s="383"/>
      <c r="H132" s="132">
        <v>15</v>
      </c>
      <c r="I132" s="129">
        <f t="shared" si="104"/>
        <v>0.39473684210526316</v>
      </c>
      <c r="J132" s="364">
        <v>90</v>
      </c>
      <c r="K132" s="157"/>
      <c r="L132" s="382"/>
      <c r="M132" s="133"/>
      <c r="N132" s="383"/>
      <c r="O132" s="134">
        <v>134.4</v>
      </c>
      <c r="P132" s="428">
        <v>62</v>
      </c>
      <c r="Q132" s="135"/>
      <c r="R132" s="428"/>
      <c r="S132" s="135"/>
      <c r="T132" s="428"/>
      <c r="U132" s="135">
        <f>((B132/O132)/($B$194/$O$194))*0.2</f>
        <v>7.0684523809523808E-2</v>
      </c>
      <c r="V132" s="428">
        <v>90</v>
      </c>
      <c r="W132" s="136">
        <f t="shared" si="86"/>
        <v>71.464676589207343</v>
      </c>
      <c r="X132" s="137">
        <f t="shared" si="82"/>
        <v>2.8273809523809521</v>
      </c>
      <c r="Y132" s="138"/>
      <c r="Z132" s="138"/>
      <c r="AA132" s="453"/>
      <c r="AB132" s="103" t="s">
        <v>489</v>
      </c>
      <c r="AC132" s="140"/>
      <c r="AD132" s="140" t="str">
        <f>VLOOKUP(P132,$B$399:$C$431,2,FALSE)</f>
        <v>SolarDesigner6マニュアル</v>
      </c>
    </row>
    <row r="133" spans="1:30" ht="14.2" customHeight="1" x14ac:dyDescent="0.25">
      <c r="A133" s="128" t="s">
        <v>239</v>
      </c>
      <c r="B133" s="145">
        <v>0.14000000000000001</v>
      </c>
      <c r="C133" s="364">
        <v>62</v>
      </c>
      <c r="D133" s="157"/>
      <c r="E133" s="383"/>
      <c r="F133" s="131"/>
      <c r="G133" s="383"/>
      <c r="H133" s="132">
        <v>7.5</v>
      </c>
      <c r="I133" s="129">
        <f t="shared" ref="I133:I140" si="105">H133/B133/1000</f>
        <v>5.3571428571428568E-2</v>
      </c>
      <c r="J133" s="364">
        <v>90</v>
      </c>
      <c r="K133" s="157"/>
      <c r="L133" s="382"/>
      <c r="M133" s="133"/>
      <c r="N133" s="383"/>
      <c r="O133" s="134">
        <v>1254.3</v>
      </c>
      <c r="P133" s="428">
        <v>62</v>
      </c>
      <c r="Q133" s="135"/>
      <c r="R133" s="428"/>
      <c r="S133" s="135"/>
      <c r="T133" s="428"/>
      <c r="U133" s="135">
        <f>((B133/O133)/($B$194/$O$194))*0.2</f>
        <v>2.7904010204895163E-2</v>
      </c>
      <c r="V133" s="428">
        <v>90</v>
      </c>
      <c r="W133" s="136">
        <f t="shared" si="86"/>
        <v>419.04892315814391</v>
      </c>
      <c r="X133" s="137">
        <f t="shared" si="82"/>
        <v>1.1161604081958065</v>
      </c>
      <c r="Y133" s="138"/>
      <c r="Z133" s="138"/>
      <c r="AA133" s="453"/>
      <c r="AB133" s="140" t="str">
        <f t="shared" ref="AB133:AB143" si="106">VLOOKUP(C133,$B$399:$C$431,2,FALSE)</f>
        <v>SolarDesigner6マニュアル</v>
      </c>
      <c r="AC133" s="140"/>
      <c r="AD133" s="140" t="str">
        <f>VLOOKUP(P133,$B$399:$C$431,2,FALSE)</f>
        <v>SolarDesigner6マニュアル</v>
      </c>
    </row>
    <row r="134" spans="1:30" ht="14.2" customHeight="1" x14ac:dyDescent="0.25">
      <c r="A134" s="193" t="s">
        <v>371</v>
      </c>
      <c r="B134" s="148">
        <v>0.13</v>
      </c>
      <c r="C134" s="365">
        <v>71</v>
      </c>
      <c r="D134" s="157">
        <f t="shared" ref="D134" si="107">F134*3600*10^-9/760*1.013*10^5</f>
        <v>0.12235973684210527</v>
      </c>
      <c r="E134" s="383">
        <v>90</v>
      </c>
      <c r="F134" s="194">
        <v>255</v>
      </c>
      <c r="G134" s="384">
        <v>71</v>
      </c>
      <c r="H134" s="190">
        <v>9</v>
      </c>
      <c r="I134" s="129">
        <f>H134/B134/1000</f>
        <v>6.9230769230769221E-2</v>
      </c>
      <c r="J134" s="364">
        <v>90</v>
      </c>
      <c r="K134" s="157">
        <f t="shared" ref="K134" si="108">D134*H134/1000</f>
        <v>1.1012376315789475E-3</v>
      </c>
      <c r="L134" s="382">
        <v>90</v>
      </c>
      <c r="M134" s="133">
        <f>F134*H134/1000</f>
        <v>2.2949999999999999</v>
      </c>
      <c r="N134" s="383">
        <v>90</v>
      </c>
      <c r="O134" s="159"/>
      <c r="P134" s="429"/>
      <c r="Q134" s="159"/>
      <c r="R134" s="429"/>
      <c r="S134" s="159"/>
      <c r="T134" s="429"/>
      <c r="U134" s="159"/>
      <c r="V134" s="429"/>
      <c r="W134" s="136">
        <f>SQRT(B134*O134*1000)</f>
        <v>0</v>
      </c>
      <c r="X134" s="137"/>
      <c r="Y134" s="138">
        <f>K134/(H134/1000)*((2*10^-7*(20+273)^0.81/101325)*10^12)</f>
        <v>24.04997836458967</v>
      </c>
      <c r="Z134" s="138">
        <f>Y134*(H134/1000)</f>
        <v>0.216449805281307</v>
      </c>
      <c r="AA134" s="160" t="s">
        <v>687</v>
      </c>
      <c r="AB134" s="140" t="str">
        <f t="shared" si="106"/>
        <v>メーカー公表値</v>
      </c>
      <c r="AC134" s="140" t="str">
        <f>VLOOKUP(G134,$B$399:$C$431,2,FALSE)</f>
        <v>メーカー公表値</v>
      </c>
      <c r="AD134" s="140"/>
    </row>
    <row r="135" spans="1:30" ht="14.2" customHeight="1" x14ac:dyDescent="0.25">
      <c r="A135" s="128" t="s">
        <v>148</v>
      </c>
      <c r="B135" s="145">
        <v>0.24</v>
      </c>
      <c r="C135" s="364">
        <v>71</v>
      </c>
      <c r="D135" s="157">
        <v>0.22</v>
      </c>
      <c r="E135" s="383">
        <v>71</v>
      </c>
      <c r="F135" s="131">
        <f t="shared" ref="F135" si="109">D135/(3600*10^-9/760*1.013*10^5)</f>
        <v>458.4841504880992</v>
      </c>
      <c r="G135" s="383">
        <v>90</v>
      </c>
      <c r="H135" s="132">
        <v>9.5</v>
      </c>
      <c r="I135" s="129">
        <f t="shared" si="105"/>
        <v>3.9583333333333338E-2</v>
      </c>
      <c r="J135" s="364">
        <v>90</v>
      </c>
      <c r="K135" s="157">
        <f>D135*H135/1000</f>
        <v>2.0899999999999998E-3</v>
      </c>
      <c r="L135" s="382">
        <v>90</v>
      </c>
      <c r="M135" s="133">
        <f t="shared" ref="M135" si="110">F135*H135/1000</f>
        <v>4.3555994296369427</v>
      </c>
      <c r="N135" s="383">
        <v>90</v>
      </c>
      <c r="O135" s="134"/>
      <c r="P135" s="428"/>
      <c r="Q135" s="135"/>
      <c r="R135" s="428"/>
      <c r="S135" s="135"/>
      <c r="T135" s="428"/>
      <c r="U135" s="135"/>
      <c r="V135" s="428"/>
      <c r="W135" s="136">
        <f t="shared" si="86"/>
        <v>0</v>
      </c>
      <c r="X135" s="137"/>
      <c r="Y135" s="138">
        <f t="shared" si="87"/>
        <v>43.241309410768849</v>
      </c>
      <c r="Z135" s="138">
        <f t="shared" si="88"/>
        <v>0.41079243940230403</v>
      </c>
      <c r="AA135" s="144" t="s">
        <v>533</v>
      </c>
      <c r="AB135" s="140" t="str">
        <f t="shared" si="106"/>
        <v>メーカー公表値</v>
      </c>
      <c r="AC135" s="140" t="str">
        <f>VLOOKUP(G135,$B$399:$C$431,2,FALSE)</f>
        <v>計算値</v>
      </c>
      <c r="AD135" s="140"/>
    </row>
    <row r="136" spans="1:30" ht="14.2" customHeight="1" x14ac:dyDescent="0.25">
      <c r="A136" s="128" t="s">
        <v>149</v>
      </c>
      <c r="B136" s="145">
        <v>0.18</v>
      </c>
      <c r="C136" s="364">
        <v>71</v>
      </c>
      <c r="D136" s="157">
        <f>F136*3600*10^-9/760*1.013*10^5</f>
        <v>0.29190394736842096</v>
      </c>
      <c r="E136" s="383">
        <v>90</v>
      </c>
      <c r="F136" s="131">
        <v>608.33333333333326</v>
      </c>
      <c r="G136" s="383">
        <v>71</v>
      </c>
      <c r="H136" s="132">
        <v>6</v>
      </c>
      <c r="I136" s="129">
        <f t="shared" si="105"/>
        <v>3.3333333333333333E-2</v>
      </c>
      <c r="J136" s="364">
        <v>90</v>
      </c>
      <c r="K136" s="157">
        <f>D136*H136/1000</f>
        <v>1.7514236842105257E-3</v>
      </c>
      <c r="L136" s="382">
        <v>90</v>
      </c>
      <c r="M136" s="133">
        <v>3.65</v>
      </c>
      <c r="N136" s="383">
        <v>71</v>
      </c>
      <c r="O136" s="134"/>
      <c r="P136" s="428"/>
      <c r="Q136" s="135"/>
      <c r="R136" s="428"/>
      <c r="S136" s="135"/>
      <c r="T136" s="428"/>
      <c r="U136" s="135"/>
      <c r="V136" s="428"/>
      <c r="W136" s="136">
        <f t="shared" si="86"/>
        <v>0</v>
      </c>
      <c r="X136" s="137"/>
      <c r="Y136" s="138">
        <f t="shared" si="87"/>
        <v>57.374131392648529</v>
      </c>
      <c r="Z136" s="138">
        <f t="shared" si="88"/>
        <v>0.34424478835589117</v>
      </c>
      <c r="AA136" s="144" t="s">
        <v>534</v>
      </c>
      <c r="AB136" s="140" t="str">
        <f t="shared" si="106"/>
        <v>メーカー公表値</v>
      </c>
      <c r="AC136" s="140" t="str">
        <f>VLOOKUP(G136,$B$399:$C$431,2,FALSE)</f>
        <v>メーカー公表値</v>
      </c>
      <c r="AD136" s="140"/>
    </row>
    <row r="137" spans="1:30" ht="14.2" customHeight="1" x14ac:dyDescent="0.25">
      <c r="A137" s="151" t="s">
        <v>528</v>
      </c>
      <c r="B137" s="148">
        <v>4.7E-2</v>
      </c>
      <c r="C137" s="365">
        <v>71</v>
      </c>
      <c r="D137" s="157">
        <f>F137*3600*10^-9/760*1.013*10^5</f>
        <v>2.5254089999999993E-2</v>
      </c>
      <c r="E137" s="383">
        <v>90</v>
      </c>
      <c r="F137" s="131">
        <v>52.63</v>
      </c>
      <c r="G137" s="384">
        <v>71</v>
      </c>
      <c r="H137" s="132">
        <v>25</v>
      </c>
      <c r="I137" s="129">
        <f t="shared" si="105"/>
        <v>0.53191489361702127</v>
      </c>
      <c r="J137" s="364">
        <v>90</v>
      </c>
      <c r="K137" s="157">
        <f t="shared" ref="K137:K138" si="111">D137*H137/1000</f>
        <v>6.3135224999999982E-4</v>
      </c>
      <c r="L137" s="382">
        <v>90</v>
      </c>
      <c r="M137" s="133">
        <f t="shared" ref="M137:M138" si="112">F137*H137/1000</f>
        <v>1.31575</v>
      </c>
      <c r="N137" s="383">
        <v>90</v>
      </c>
      <c r="O137" s="134">
        <f>Q137*S137</f>
        <v>142.29</v>
      </c>
      <c r="P137" s="429">
        <v>90</v>
      </c>
      <c r="Q137" s="159">
        <v>0.83699999999999997</v>
      </c>
      <c r="R137" s="429">
        <v>71</v>
      </c>
      <c r="S137" s="159">
        <v>170</v>
      </c>
      <c r="T137" s="429">
        <v>71</v>
      </c>
      <c r="U137" s="135">
        <f>((B137/O137)/($B$194/$O$194))*0.2</f>
        <v>8.257783400098391E-2</v>
      </c>
      <c r="V137" s="428">
        <v>90</v>
      </c>
      <c r="W137" s="136">
        <f t="shared" si="86"/>
        <v>81.777931008310546</v>
      </c>
      <c r="X137" s="137">
        <f t="shared" si="82"/>
        <v>3.3031133600393563</v>
      </c>
      <c r="Y137" s="138">
        <f t="shared" si="87"/>
        <v>4.963726907170015</v>
      </c>
      <c r="Z137" s="138">
        <f t="shared" si="88"/>
        <v>0.12409317267925038</v>
      </c>
      <c r="AA137" s="160" t="s">
        <v>530</v>
      </c>
      <c r="AB137" s="140" t="str">
        <f t="shared" si="106"/>
        <v>メーカー公表値</v>
      </c>
      <c r="AC137" s="140" t="str">
        <f>VLOOKUP(G137,$B$399:$C$431,2,FALSE)</f>
        <v>メーカー公表値</v>
      </c>
      <c r="AD137" s="140" t="str">
        <f>VLOOKUP(P137,$B$399:$C$431,2,FALSE)</f>
        <v>計算値</v>
      </c>
    </row>
    <row r="138" spans="1:30" ht="14.2" customHeight="1" x14ac:dyDescent="0.25">
      <c r="A138" s="151" t="s">
        <v>529</v>
      </c>
      <c r="B138" s="148">
        <v>7.2999999999999995E-2</v>
      </c>
      <c r="C138" s="365">
        <v>71</v>
      </c>
      <c r="D138" s="157">
        <f>F138*3600*10^-9/760*1.013*10^5</f>
        <v>2.9990131578947372E-2</v>
      </c>
      <c r="E138" s="383">
        <v>90</v>
      </c>
      <c r="F138" s="131">
        <v>62.5</v>
      </c>
      <c r="G138" s="384">
        <v>71</v>
      </c>
      <c r="H138" s="132">
        <v>15</v>
      </c>
      <c r="I138" s="129">
        <f t="shared" si="105"/>
        <v>0.20547945205479454</v>
      </c>
      <c r="J138" s="364">
        <v>90</v>
      </c>
      <c r="K138" s="157">
        <f t="shared" si="111"/>
        <v>4.498519736842106E-4</v>
      </c>
      <c r="L138" s="382">
        <v>90</v>
      </c>
      <c r="M138" s="133">
        <f t="shared" si="112"/>
        <v>0.9375</v>
      </c>
      <c r="N138" s="383">
        <v>90</v>
      </c>
      <c r="O138" s="134">
        <f>Q138*S138</f>
        <v>334.8</v>
      </c>
      <c r="P138" s="429">
        <v>90</v>
      </c>
      <c r="Q138" s="159">
        <v>0.83699999999999997</v>
      </c>
      <c r="R138" s="429">
        <v>71</v>
      </c>
      <c r="S138" s="159">
        <v>400</v>
      </c>
      <c r="T138" s="429">
        <v>71</v>
      </c>
      <c r="U138" s="135">
        <f>((B138/O138)/($B$194/$O$194))*0.2</f>
        <v>5.4510155316606926E-2</v>
      </c>
      <c r="V138" s="428">
        <v>90</v>
      </c>
      <c r="W138" s="136">
        <f t="shared" si="86"/>
        <v>156.33425728227323</v>
      </c>
      <c r="X138" s="137">
        <f t="shared" si="82"/>
        <v>2.1804062126642769</v>
      </c>
      <c r="Y138" s="138">
        <f t="shared" si="87"/>
        <v>5.8946025403406059</v>
      </c>
      <c r="Z138" s="138">
        <f t="shared" si="88"/>
        <v>8.841903810510908E-2</v>
      </c>
      <c r="AA138" s="160" t="s">
        <v>530</v>
      </c>
      <c r="AB138" s="140" t="str">
        <f t="shared" si="106"/>
        <v>メーカー公表値</v>
      </c>
      <c r="AC138" s="140" t="str">
        <f>VLOOKUP(G138,$B$399:$C$431,2,FALSE)</f>
        <v>メーカー公表値</v>
      </c>
      <c r="AD138" s="140" t="str">
        <f>VLOOKUP(P138,$B$399:$C$431,2,FALSE)</f>
        <v>計算値</v>
      </c>
    </row>
    <row r="139" spans="1:30" ht="14.2" customHeight="1" x14ac:dyDescent="0.25">
      <c r="A139" s="151" t="s">
        <v>537</v>
      </c>
      <c r="B139" s="148">
        <v>0.14000000000000001</v>
      </c>
      <c r="C139" s="365">
        <v>71</v>
      </c>
      <c r="D139" s="157"/>
      <c r="E139" s="383"/>
      <c r="F139" s="131"/>
      <c r="G139" s="384"/>
      <c r="H139" s="132">
        <v>12.5</v>
      </c>
      <c r="I139" s="129">
        <f t="shared" si="105"/>
        <v>8.9285714285714274E-2</v>
      </c>
      <c r="J139" s="364">
        <v>90</v>
      </c>
      <c r="K139" s="157"/>
      <c r="L139" s="382"/>
      <c r="M139" s="133"/>
      <c r="N139" s="383"/>
      <c r="O139" s="134"/>
      <c r="P139" s="429"/>
      <c r="Q139" s="159"/>
      <c r="R139" s="429"/>
      <c r="S139" s="159"/>
      <c r="T139" s="429"/>
      <c r="U139" s="159"/>
      <c r="V139" s="429"/>
      <c r="W139" s="136">
        <f t="shared" si="86"/>
        <v>0</v>
      </c>
      <c r="X139" s="137"/>
      <c r="Y139" s="138"/>
      <c r="Z139" s="138"/>
      <c r="AA139" s="160" t="s">
        <v>530</v>
      </c>
      <c r="AB139" s="140" t="str">
        <f t="shared" si="106"/>
        <v>メーカー公表値</v>
      </c>
      <c r="AC139" s="140"/>
      <c r="AD139" s="140"/>
    </row>
    <row r="140" spans="1:30" ht="14.2" customHeight="1" x14ac:dyDescent="0.25">
      <c r="A140" s="151" t="s">
        <v>686</v>
      </c>
      <c r="B140" s="148">
        <v>0.24099999999999999</v>
      </c>
      <c r="C140" s="365">
        <v>11</v>
      </c>
      <c r="D140" s="157">
        <f>K140/(H140/1000)</f>
        <v>16</v>
      </c>
      <c r="E140" s="383">
        <v>90</v>
      </c>
      <c r="F140" s="131">
        <f t="shared" ref="F140" si="113">D140/(3600*10^-9/760*1.013*10^5)</f>
        <v>33344.301853679943</v>
      </c>
      <c r="G140" s="384">
        <v>90</v>
      </c>
      <c r="H140" s="132">
        <v>12.5</v>
      </c>
      <c r="I140" s="129">
        <f t="shared" si="105"/>
        <v>5.1867219917012451E-2</v>
      </c>
      <c r="J140" s="364">
        <v>90</v>
      </c>
      <c r="K140" s="157">
        <v>0.2</v>
      </c>
      <c r="L140" s="382">
        <v>71</v>
      </c>
      <c r="M140" s="133">
        <f>K140*1000000000*0.00750062/3600</f>
        <v>416.70111111111112</v>
      </c>
      <c r="N140" s="383">
        <v>90</v>
      </c>
      <c r="O140" s="134"/>
      <c r="P140" s="429"/>
      <c r="Q140" s="159"/>
      <c r="R140" s="429"/>
      <c r="S140" s="159"/>
      <c r="T140" s="429"/>
      <c r="U140" s="159"/>
      <c r="V140" s="429"/>
      <c r="W140" s="136">
        <f t="shared" si="86"/>
        <v>0</v>
      </c>
      <c r="X140" s="137"/>
      <c r="Y140" s="138"/>
      <c r="Z140" s="138"/>
      <c r="AA140" s="150" t="s">
        <v>535</v>
      </c>
      <c r="AB140" s="140" t="str">
        <f t="shared" si="106"/>
        <v>Ｈ25年エネルギーの合理化に関する法律</v>
      </c>
      <c r="AC140" s="140"/>
      <c r="AD140" s="140"/>
    </row>
    <row r="141" spans="1:30" ht="14.2" customHeight="1" x14ac:dyDescent="0.25">
      <c r="A141" s="151" t="s">
        <v>685</v>
      </c>
      <c r="B141" s="148">
        <v>0.26</v>
      </c>
      <c r="C141" s="365">
        <v>71</v>
      </c>
      <c r="D141" s="157">
        <v>6.8500000000000005E-2</v>
      </c>
      <c r="E141" s="383">
        <v>71</v>
      </c>
      <c r="F141" s="131">
        <f t="shared" ref="F141:F143" si="114">D141/(3600*10^-9/760*1.013*10^5)</f>
        <v>142.75529231106725</v>
      </c>
      <c r="G141" s="384">
        <v>90</v>
      </c>
      <c r="H141" s="132">
        <v>9.5</v>
      </c>
      <c r="I141" s="129">
        <f t="shared" ref="I141:I143" si="115">H141/B141/1000</f>
        <v>3.653846153846154E-2</v>
      </c>
      <c r="J141" s="364">
        <v>90</v>
      </c>
      <c r="K141" s="157">
        <f t="shared" ref="K141:K142" si="116">D141*H141/1000</f>
        <v>6.5075000000000007E-4</v>
      </c>
      <c r="L141" s="382">
        <v>90</v>
      </c>
      <c r="M141" s="133">
        <f t="shared" ref="M141:M142" si="117">F141*H141/1000</f>
        <v>1.356175276955139</v>
      </c>
      <c r="N141" s="383">
        <v>90</v>
      </c>
      <c r="O141" s="134"/>
      <c r="P141" s="429"/>
      <c r="Q141" s="159"/>
      <c r="R141" s="429"/>
      <c r="S141" s="159"/>
      <c r="T141" s="429"/>
      <c r="U141" s="159"/>
      <c r="V141" s="429"/>
      <c r="W141" s="136">
        <f t="shared" si="86"/>
        <v>0</v>
      </c>
      <c r="X141" s="137"/>
      <c r="Y141" s="138">
        <f t="shared" si="87"/>
        <v>13.46377133926212</v>
      </c>
      <c r="Z141" s="138">
        <f t="shared" si="88"/>
        <v>0.12790582772299014</v>
      </c>
      <c r="AA141" s="150" t="s">
        <v>535</v>
      </c>
      <c r="AB141" s="140" t="str">
        <f t="shared" si="106"/>
        <v>メーカー公表値</v>
      </c>
      <c r="AC141" s="140" t="str">
        <f>VLOOKUP(E141,$B$399:$C$431,2,FALSE)</f>
        <v>メーカー公表値</v>
      </c>
      <c r="AD141" s="140"/>
    </row>
    <row r="142" spans="1:30" ht="14.2" customHeight="1" x14ac:dyDescent="0.25">
      <c r="A142" s="151" t="s">
        <v>684</v>
      </c>
      <c r="B142" s="148">
        <v>0.21</v>
      </c>
      <c r="C142" s="365">
        <v>71</v>
      </c>
      <c r="D142" s="157">
        <v>6.9710999999999995E-2</v>
      </c>
      <c r="E142" s="383">
        <v>71</v>
      </c>
      <c r="F142" s="131">
        <f t="shared" si="114"/>
        <v>145.27903915761763</v>
      </c>
      <c r="G142" s="384">
        <v>90</v>
      </c>
      <c r="H142" s="132">
        <v>9.5</v>
      </c>
      <c r="I142" s="129">
        <f t="shared" si="115"/>
        <v>4.5238095238095244E-2</v>
      </c>
      <c r="J142" s="364"/>
      <c r="K142" s="157">
        <f t="shared" si="116"/>
        <v>6.6225449999999999E-4</v>
      </c>
      <c r="L142" s="382">
        <v>90</v>
      </c>
      <c r="M142" s="133">
        <f t="shared" si="117"/>
        <v>1.3801508719973674</v>
      </c>
      <c r="N142" s="383">
        <v>90</v>
      </c>
      <c r="O142" s="134"/>
      <c r="P142" s="429"/>
      <c r="Q142" s="159"/>
      <c r="R142" s="429"/>
      <c r="S142" s="159"/>
      <c r="T142" s="429"/>
      <c r="U142" s="159"/>
      <c r="V142" s="429"/>
      <c r="W142" s="136">
        <f t="shared" si="86"/>
        <v>0</v>
      </c>
      <c r="X142" s="137"/>
      <c r="Y142" s="138"/>
      <c r="Z142" s="138"/>
      <c r="AA142" s="150" t="s">
        <v>535</v>
      </c>
      <c r="AB142" s="140" t="str">
        <f t="shared" si="106"/>
        <v>メーカー公表値</v>
      </c>
      <c r="AC142" s="140"/>
      <c r="AD142" s="140"/>
    </row>
    <row r="143" spans="1:30" ht="14.2" customHeight="1" x14ac:dyDescent="0.25">
      <c r="A143" s="151" t="s">
        <v>538</v>
      </c>
      <c r="B143" s="148">
        <v>0.24099999999999999</v>
      </c>
      <c r="C143" s="365">
        <v>11</v>
      </c>
      <c r="D143" s="157">
        <f>K143/(H143/1000)</f>
        <v>14.399999999999999</v>
      </c>
      <c r="E143" s="383">
        <v>90</v>
      </c>
      <c r="F143" s="131">
        <f t="shared" si="114"/>
        <v>30009.871668311946</v>
      </c>
      <c r="G143" s="384">
        <v>90</v>
      </c>
      <c r="H143" s="132">
        <v>12.5</v>
      </c>
      <c r="I143" s="129">
        <f t="shared" si="115"/>
        <v>5.1867219917012451E-2</v>
      </c>
      <c r="J143" s="364">
        <v>90</v>
      </c>
      <c r="K143" s="157">
        <v>0.18</v>
      </c>
      <c r="L143" s="382">
        <v>71</v>
      </c>
      <c r="M143" s="133">
        <f>K143*1000000000*0.00750062/3600</f>
        <v>375.03100000000001</v>
      </c>
      <c r="N143" s="383">
        <v>90</v>
      </c>
      <c r="O143" s="134"/>
      <c r="P143" s="429"/>
      <c r="Q143" s="159"/>
      <c r="R143" s="429"/>
      <c r="S143" s="159"/>
      <c r="T143" s="429"/>
      <c r="U143" s="159"/>
      <c r="V143" s="429"/>
      <c r="W143" s="136">
        <f t="shared" si="86"/>
        <v>0</v>
      </c>
      <c r="X143" s="137"/>
      <c r="Y143" s="138">
        <f t="shared" si="87"/>
        <v>2830.3402523412337</v>
      </c>
      <c r="Z143" s="138">
        <f t="shared" si="88"/>
        <v>35.37925315426542</v>
      </c>
      <c r="AA143" s="160" t="s">
        <v>683</v>
      </c>
      <c r="AB143" s="140" t="str">
        <f t="shared" si="106"/>
        <v>Ｈ25年エネルギーの合理化に関する法律</v>
      </c>
      <c r="AC143" s="140"/>
      <c r="AD143" s="140"/>
    </row>
    <row r="144" spans="1:30" ht="14.2" customHeight="1" x14ac:dyDescent="0.25">
      <c r="A144" s="167" t="s">
        <v>545</v>
      </c>
      <c r="B144" s="145"/>
      <c r="C144" s="364"/>
      <c r="D144" s="157">
        <f t="shared" ref="D144:D148" si="118">F144*3600*10^-9/760*1.013*10^5</f>
        <v>479842.10478331579</v>
      </c>
      <c r="E144" s="383">
        <v>90</v>
      </c>
      <c r="F144" s="178">
        <v>999999999</v>
      </c>
      <c r="G144" s="386">
        <v>99</v>
      </c>
      <c r="H144" s="132">
        <v>12</v>
      </c>
      <c r="I144" s="129">
        <v>0.29399999999999998</v>
      </c>
      <c r="J144" s="364">
        <v>71</v>
      </c>
      <c r="K144" s="157">
        <f t="shared" ref="K144:K148" si="119">D144*H144/1000</f>
        <v>5758.1052573997904</v>
      </c>
      <c r="L144" s="382">
        <v>90</v>
      </c>
      <c r="M144" s="133">
        <f t="shared" ref="M144:M148" si="120">F144*H144/1000</f>
        <v>11999999.988</v>
      </c>
      <c r="N144" s="383">
        <v>90</v>
      </c>
      <c r="O144" s="179">
        <v>1875</v>
      </c>
      <c r="P144" s="432">
        <v>54</v>
      </c>
      <c r="Q144" s="185">
        <v>0.75</v>
      </c>
      <c r="R144" s="428">
        <v>54</v>
      </c>
      <c r="S144" s="185">
        <v>2500</v>
      </c>
      <c r="T144" s="428">
        <v>54</v>
      </c>
      <c r="U144" s="135">
        <f>((B144/O144)/($B$194/$O$194))*0.2</f>
        <v>0</v>
      </c>
      <c r="V144" s="428">
        <v>90</v>
      </c>
      <c r="W144" s="136">
        <f t="shared" si="86"/>
        <v>0</v>
      </c>
      <c r="X144" s="137">
        <f t="shared" si="82"/>
        <v>0</v>
      </c>
      <c r="Y144" s="138">
        <f t="shared" si="87"/>
        <v>94313640.551136047</v>
      </c>
      <c r="Z144" s="138">
        <f t="shared" si="88"/>
        <v>1131763.6866136326</v>
      </c>
      <c r="AA144" s="144" t="s">
        <v>71</v>
      </c>
      <c r="AB144" s="140" t="str">
        <f>VLOOKUP(J144,$B$399:$C$431,2,FALSE)</f>
        <v>メーカー公表値</v>
      </c>
      <c r="AC144" s="140" t="str">
        <f>VLOOKUP(G144,$B$399:$C$431,2,FALSE)</f>
        <v>推測値</v>
      </c>
      <c r="AD144" s="140" t="str">
        <f>VLOOKUP(P144,$B$399:$C$431,2,FALSE)</f>
        <v>「健康なすまいへの道」建築資料研究社</v>
      </c>
    </row>
    <row r="145" spans="1:32" ht="14.2" customHeight="1" x14ac:dyDescent="0.25">
      <c r="A145" s="128" t="s">
        <v>544</v>
      </c>
      <c r="B145" s="145"/>
      <c r="C145" s="364"/>
      <c r="D145" s="157">
        <f t="shared" si="118"/>
        <v>479842.10478331579</v>
      </c>
      <c r="E145" s="383">
        <v>90</v>
      </c>
      <c r="F145" s="178">
        <v>999999999</v>
      </c>
      <c r="G145" s="386">
        <v>99</v>
      </c>
      <c r="H145" s="132">
        <v>12</v>
      </c>
      <c r="I145" s="129">
        <v>0.4</v>
      </c>
      <c r="J145" s="364">
        <v>71</v>
      </c>
      <c r="K145" s="157">
        <f t="shared" si="119"/>
        <v>5758.1052573997904</v>
      </c>
      <c r="L145" s="382">
        <v>90</v>
      </c>
      <c r="M145" s="133">
        <f t="shared" si="120"/>
        <v>11999999.988</v>
      </c>
      <c r="N145" s="383">
        <v>90</v>
      </c>
      <c r="O145" s="179">
        <v>1875</v>
      </c>
      <c r="P145" s="432">
        <v>54</v>
      </c>
      <c r="Q145" s="185">
        <v>0.75</v>
      </c>
      <c r="R145" s="428">
        <v>54</v>
      </c>
      <c r="S145" s="185">
        <v>2500</v>
      </c>
      <c r="T145" s="428">
        <v>54</v>
      </c>
      <c r="U145" s="135">
        <f>((B145/O145)/($B$194/$O$194))*0.2</f>
        <v>0</v>
      </c>
      <c r="V145" s="428">
        <v>90</v>
      </c>
      <c r="W145" s="136">
        <f t="shared" si="86"/>
        <v>0</v>
      </c>
      <c r="X145" s="137">
        <f t="shared" si="82"/>
        <v>0</v>
      </c>
      <c r="Y145" s="138">
        <f t="shared" si="87"/>
        <v>94313640.551136047</v>
      </c>
      <c r="Z145" s="138">
        <f t="shared" si="88"/>
        <v>1131763.6866136326</v>
      </c>
      <c r="AA145" s="141" t="s">
        <v>540</v>
      </c>
      <c r="AB145" s="140" t="str">
        <f>VLOOKUP(J145,$B$399:$C$431,2,FALSE)</f>
        <v>メーカー公表値</v>
      </c>
      <c r="AC145" s="140" t="str">
        <f>VLOOKUP(G145,$B$399:$C$431,2,FALSE)</f>
        <v>推測値</v>
      </c>
      <c r="AD145" s="140" t="str">
        <f>VLOOKUP(P145,$B$399:$C$431,2,FALSE)</f>
        <v>「健康なすまいへの道」建築資料研究社</v>
      </c>
    </row>
    <row r="146" spans="1:32" ht="14.2" customHeight="1" x14ac:dyDescent="0.25">
      <c r="A146" s="128" t="s">
        <v>543</v>
      </c>
      <c r="B146" s="145"/>
      <c r="C146" s="364"/>
      <c r="D146" s="157">
        <f t="shared" si="118"/>
        <v>479842.10478331579</v>
      </c>
      <c r="E146" s="383">
        <v>90</v>
      </c>
      <c r="F146" s="178">
        <v>999999999</v>
      </c>
      <c r="G146" s="386">
        <v>99</v>
      </c>
      <c r="H146" s="132">
        <v>18</v>
      </c>
      <c r="I146" s="129">
        <v>0.625</v>
      </c>
      <c r="J146" s="364">
        <v>71</v>
      </c>
      <c r="K146" s="130">
        <f t="shared" si="119"/>
        <v>8637.1578860996851</v>
      </c>
      <c r="L146" s="382">
        <v>90</v>
      </c>
      <c r="M146" s="133">
        <f t="shared" si="120"/>
        <v>17999999.982000001</v>
      </c>
      <c r="N146" s="383">
        <v>90</v>
      </c>
      <c r="O146" s="186">
        <v>1875</v>
      </c>
      <c r="P146" s="433">
        <v>54</v>
      </c>
      <c r="Q146" s="185">
        <v>0.75</v>
      </c>
      <c r="R146" s="428">
        <v>54</v>
      </c>
      <c r="S146" s="185">
        <v>2500</v>
      </c>
      <c r="T146" s="428">
        <v>54</v>
      </c>
      <c r="U146" s="135">
        <f>((B146/O146)/($B$194/$O$194))*0.2</f>
        <v>0</v>
      </c>
      <c r="V146" s="428">
        <v>90</v>
      </c>
      <c r="W146" s="136">
        <f t="shared" si="86"/>
        <v>0</v>
      </c>
      <c r="X146" s="137">
        <f t="shared" si="82"/>
        <v>0</v>
      </c>
      <c r="Y146" s="138">
        <f t="shared" si="87"/>
        <v>94313640.551136047</v>
      </c>
      <c r="Z146" s="138">
        <f t="shared" si="88"/>
        <v>1697645.5299204488</v>
      </c>
      <c r="AA146" s="141" t="s">
        <v>540</v>
      </c>
      <c r="AB146" s="140" t="str">
        <f>VLOOKUP(J146,$B$399:$C$431,2,FALSE)</f>
        <v>メーカー公表値</v>
      </c>
      <c r="AC146" s="140" t="str">
        <f>VLOOKUP(G146,$B$399:$C$431,2,FALSE)</f>
        <v>推測値</v>
      </c>
      <c r="AD146" s="140" t="str">
        <f>VLOOKUP(P146,$B$399:$C$431,2,FALSE)</f>
        <v>「健康なすまいへの道」建築資料研究社</v>
      </c>
    </row>
    <row r="147" spans="1:32" ht="14.2" customHeight="1" x14ac:dyDescent="0.25">
      <c r="A147" s="128" t="s">
        <v>539</v>
      </c>
      <c r="B147" s="145"/>
      <c r="C147" s="364"/>
      <c r="D147" s="157">
        <f t="shared" si="118"/>
        <v>479842.10478331579</v>
      </c>
      <c r="E147" s="383">
        <v>90</v>
      </c>
      <c r="F147" s="178">
        <v>999999999</v>
      </c>
      <c r="G147" s="386">
        <v>99</v>
      </c>
      <c r="H147" s="132">
        <v>6.2</v>
      </c>
      <c r="I147" s="129">
        <v>0.71399999999999997</v>
      </c>
      <c r="J147" s="364">
        <v>71</v>
      </c>
      <c r="K147" s="130">
        <f t="shared" si="119"/>
        <v>2975.0210496565578</v>
      </c>
      <c r="L147" s="382">
        <v>90</v>
      </c>
      <c r="M147" s="133">
        <f t="shared" si="120"/>
        <v>6199999.9938000003</v>
      </c>
      <c r="N147" s="383">
        <v>90</v>
      </c>
      <c r="O147" s="186">
        <v>1875</v>
      </c>
      <c r="P147" s="433">
        <v>54</v>
      </c>
      <c r="Q147" s="185">
        <v>0.75</v>
      </c>
      <c r="R147" s="428">
        <v>54</v>
      </c>
      <c r="S147" s="185">
        <v>2500</v>
      </c>
      <c r="T147" s="428">
        <v>54</v>
      </c>
      <c r="U147" s="135">
        <f>((B147/O147)/($B$194/$O$194))*0.2</f>
        <v>0</v>
      </c>
      <c r="V147" s="428">
        <v>90</v>
      </c>
      <c r="W147" s="136">
        <f t="shared" si="86"/>
        <v>0</v>
      </c>
      <c r="X147" s="137">
        <f t="shared" si="82"/>
        <v>0</v>
      </c>
      <c r="Y147" s="138">
        <f t="shared" si="87"/>
        <v>94313640.551136032</v>
      </c>
      <c r="Z147" s="138">
        <f t="shared" si="88"/>
        <v>584744.57141704333</v>
      </c>
      <c r="AA147" s="141" t="s">
        <v>540</v>
      </c>
      <c r="AB147" s="140" t="str">
        <f>VLOOKUP(J147,$B$399:$C$431,2,FALSE)</f>
        <v>メーカー公表値</v>
      </c>
      <c r="AC147" s="140" t="str">
        <f>VLOOKUP(G147,$B$399:$C$431,2,FALSE)</f>
        <v>推測値</v>
      </c>
      <c r="AD147" s="140" t="str">
        <f>VLOOKUP(P147,$B$399:$C$431,2,FALSE)</f>
        <v>「健康なすまいへの道」建築資料研究社</v>
      </c>
    </row>
    <row r="148" spans="1:32" ht="14.2" customHeight="1" thickBot="1" x14ac:dyDescent="0.3">
      <c r="A148" s="128" t="s">
        <v>542</v>
      </c>
      <c r="B148" s="145"/>
      <c r="C148" s="364"/>
      <c r="D148" s="157">
        <f t="shared" si="118"/>
        <v>479842.10478331579</v>
      </c>
      <c r="E148" s="383">
        <v>90</v>
      </c>
      <c r="F148" s="178">
        <v>999999999</v>
      </c>
      <c r="G148" s="386">
        <v>99</v>
      </c>
      <c r="H148" s="132">
        <v>21.2</v>
      </c>
      <c r="I148" s="129">
        <v>1.1763999999999999</v>
      </c>
      <c r="J148" s="364">
        <v>71</v>
      </c>
      <c r="K148" s="130">
        <f t="shared" si="119"/>
        <v>10172.652621406294</v>
      </c>
      <c r="L148" s="382">
        <v>90</v>
      </c>
      <c r="M148" s="133">
        <f t="shared" si="120"/>
        <v>21199999.978799999</v>
      </c>
      <c r="N148" s="383">
        <v>90</v>
      </c>
      <c r="O148" s="186">
        <v>1875</v>
      </c>
      <c r="P148" s="433">
        <v>54</v>
      </c>
      <c r="Q148" s="185">
        <v>0.75</v>
      </c>
      <c r="R148" s="428">
        <v>54</v>
      </c>
      <c r="S148" s="185">
        <v>2500</v>
      </c>
      <c r="T148" s="428">
        <v>54</v>
      </c>
      <c r="U148" s="135">
        <f>((B148/O148)/($B$194/$O$194))*0.2</f>
        <v>0</v>
      </c>
      <c r="V148" s="428">
        <v>90</v>
      </c>
      <c r="W148" s="136">
        <f t="shared" si="86"/>
        <v>0</v>
      </c>
      <c r="X148" s="137">
        <f t="shared" si="82"/>
        <v>0</v>
      </c>
      <c r="Y148" s="138">
        <f t="shared" si="87"/>
        <v>94313640.551136017</v>
      </c>
      <c r="Z148" s="138">
        <f t="shared" si="88"/>
        <v>1999449.1796840837</v>
      </c>
      <c r="AA148" s="144" t="s">
        <v>541</v>
      </c>
      <c r="AB148" s="140" t="str">
        <f>VLOOKUP(J148,$B$399:$C$431,2,FALSE)</f>
        <v>メーカー公表値</v>
      </c>
      <c r="AC148" s="140" t="str">
        <f>VLOOKUP(G148,$B$399:$C$431,2,FALSE)</f>
        <v>推測値</v>
      </c>
      <c r="AD148" s="140" t="str">
        <f>VLOOKUP(P148,$B$399:$C$431,2,FALSE)</f>
        <v>「健康なすまいへの道」建築資料研究社</v>
      </c>
    </row>
    <row r="149" spans="1:32" ht="21" customHeight="1" thickTop="1" x14ac:dyDescent="0.25">
      <c r="A149" s="161" t="s">
        <v>356</v>
      </c>
      <c r="B149" s="162"/>
      <c r="C149" s="366"/>
      <c r="D149" s="163"/>
      <c r="E149" s="366"/>
      <c r="F149" s="162"/>
      <c r="G149" s="366"/>
      <c r="H149" s="162"/>
      <c r="I149" s="162"/>
      <c r="J149" s="366"/>
      <c r="K149" s="163"/>
      <c r="L149" s="366"/>
      <c r="M149" s="162"/>
      <c r="N149" s="366"/>
      <c r="O149" s="162"/>
      <c r="P149" s="366"/>
      <c r="Q149" s="162"/>
      <c r="R149" s="366"/>
      <c r="S149" s="162"/>
      <c r="T149" s="366"/>
      <c r="U149" s="162"/>
      <c r="V149" s="366"/>
      <c r="W149" s="164"/>
      <c r="X149" s="164"/>
      <c r="Y149" s="165"/>
      <c r="Z149" s="165"/>
      <c r="AA149" s="166"/>
    </row>
    <row r="150" spans="1:32" ht="14.2" customHeight="1" x14ac:dyDescent="0.25">
      <c r="A150" s="128" t="s">
        <v>342</v>
      </c>
      <c r="B150" s="145">
        <v>0.12</v>
      </c>
      <c r="C150" s="364">
        <v>10</v>
      </c>
      <c r="D150" s="130">
        <v>0.25</v>
      </c>
      <c r="E150" s="382">
        <v>11</v>
      </c>
      <c r="F150" s="131">
        <v>521</v>
      </c>
      <c r="G150" s="382">
        <v>11</v>
      </c>
      <c r="H150" s="132">
        <v>30</v>
      </c>
      <c r="I150" s="129">
        <f t="shared" ref="I150:I152" si="121">H150/B150/1000</f>
        <v>0.25</v>
      </c>
      <c r="J150" s="364">
        <v>90</v>
      </c>
      <c r="K150" s="130">
        <f t="shared" ref="K150:K152" si="122">D150*H150/1000</f>
        <v>7.4999999999999997E-3</v>
      </c>
      <c r="L150" s="382">
        <v>90</v>
      </c>
      <c r="M150" s="133">
        <f t="shared" ref="M150:M152" si="123">F150*H150/1000</f>
        <v>15.63</v>
      </c>
      <c r="N150" s="383">
        <v>90</v>
      </c>
      <c r="O150" s="134">
        <v>520</v>
      </c>
      <c r="P150" s="428">
        <v>11</v>
      </c>
      <c r="Q150" s="135"/>
      <c r="R150" s="428"/>
      <c r="S150" s="135"/>
      <c r="T150" s="428"/>
      <c r="U150" s="135">
        <f>((B150/O150)/($B$194/$O$194))*0.2</f>
        <v>5.7692307692307689E-2</v>
      </c>
      <c r="V150" s="428">
        <v>11</v>
      </c>
      <c r="W150" s="136">
        <f t="shared" ref="W150:W190" si="124">SQRT(B150*O150*1000)</f>
        <v>249.79991993593592</v>
      </c>
      <c r="X150" s="137">
        <f t="shared" si="82"/>
        <v>2.3076923076923075</v>
      </c>
      <c r="Y150" s="138">
        <f t="shared" ref="Y150:Y170" si="125">K150/(H150/1000)*((2*10^-7*(20+273)^0.81/101325)*10^12)</f>
        <v>49.137851603146423</v>
      </c>
      <c r="Z150" s="138">
        <f t="shared" ref="Z150:Z170" si="126">Y150*(H150/1000)</f>
        <v>1.4741355480943927</v>
      </c>
      <c r="AA150" s="141"/>
      <c r="AB150" s="140" t="str">
        <f t="shared" ref="AB150:AB173" si="127">VLOOKUP(C150,$B$399:$C$431,2,FALSE)</f>
        <v>H28年建築物省エネルギー法</v>
      </c>
      <c r="AC150" s="103" t="s">
        <v>346</v>
      </c>
      <c r="AD150" s="103" t="s">
        <v>410</v>
      </c>
      <c r="AE150" s="103" t="s">
        <v>389</v>
      </c>
    </row>
    <row r="151" spans="1:32" ht="14.2" customHeight="1" x14ac:dyDescent="0.25">
      <c r="A151" s="128" t="s">
        <v>292</v>
      </c>
      <c r="B151" s="145">
        <v>0.16</v>
      </c>
      <c r="C151" s="364">
        <v>10</v>
      </c>
      <c r="D151" s="130">
        <v>0.90100000000000002</v>
      </c>
      <c r="E151" s="382">
        <v>11</v>
      </c>
      <c r="F151" s="131">
        <v>1880</v>
      </c>
      <c r="G151" s="382">
        <v>11</v>
      </c>
      <c r="H151" s="132">
        <v>12</v>
      </c>
      <c r="I151" s="129">
        <f t="shared" si="121"/>
        <v>7.4999999999999997E-2</v>
      </c>
      <c r="J151" s="364">
        <v>90</v>
      </c>
      <c r="K151" s="130">
        <f t="shared" si="122"/>
        <v>1.0812E-2</v>
      </c>
      <c r="L151" s="382">
        <v>90</v>
      </c>
      <c r="M151" s="133">
        <f t="shared" si="123"/>
        <v>22.56</v>
      </c>
      <c r="N151" s="383">
        <v>90</v>
      </c>
      <c r="O151" s="134">
        <v>720</v>
      </c>
      <c r="P151" s="428">
        <v>11</v>
      </c>
      <c r="Q151" s="135">
        <f>O151/S151</f>
        <v>1.3333333333333333</v>
      </c>
      <c r="R151" s="428">
        <v>90</v>
      </c>
      <c r="S151" s="135">
        <v>540</v>
      </c>
      <c r="T151" s="428">
        <v>22</v>
      </c>
      <c r="U151" s="135">
        <f>((B151/O151)/($B$194/$O$194))*0.2</f>
        <v>5.5555555555555559E-2</v>
      </c>
      <c r="V151" s="428">
        <v>11</v>
      </c>
      <c r="W151" s="136">
        <f t="shared" si="124"/>
        <v>339.41125496954282</v>
      </c>
      <c r="X151" s="137">
        <f t="shared" si="82"/>
        <v>2.2222222222222223</v>
      </c>
      <c r="Y151" s="138">
        <f t="shared" si="125"/>
        <v>177.0928171777397</v>
      </c>
      <c r="Z151" s="138">
        <f t="shared" si="126"/>
        <v>2.1251138061328767</v>
      </c>
      <c r="AA151" s="141"/>
      <c r="AB151" s="140" t="str">
        <f t="shared" si="127"/>
        <v>H28年建築物省エネルギー法</v>
      </c>
      <c r="AC151" s="103" t="s">
        <v>346</v>
      </c>
      <c r="AD151" s="103" t="s">
        <v>410</v>
      </c>
      <c r="AE151" s="103" t="s">
        <v>391</v>
      </c>
      <c r="AF151" s="103" t="s">
        <v>404</v>
      </c>
    </row>
    <row r="152" spans="1:32" ht="14.2" customHeight="1" x14ac:dyDescent="0.25">
      <c r="A152" s="128" t="s">
        <v>261</v>
      </c>
      <c r="B152" s="145">
        <v>0.13</v>
      </c>
      <c r="C152" s="364">
        <v>10</v>
      </c>
      <c r="D152" s="130">
        <v>0.01</v>
      </c>
      <c r="E152" s="382">
        <v>11</v>
      </c>
      <c r="F152" s="131">
        <v>30</v>
      </c>
      <c r="G152" s="382">
        <v>11</v>
      </c>
      <c r="H152" s="132">
        <v>12</v>
      </c>
      <c r="I152" s="129">
        <f t="shared" si="121"/>
        <v>9.2307692307692313E-2</v>
      </c>
      <c r="J152" s="364">
        <v>90</v>
      </c>
      <c r="K152" s="130">
        <f t="shared" si="122"/>
        <v>1.1999999999999999E-4</v>
      </c>
      <c r="L152" s="382">
        <v>90</v>
      </c>
      <c r="M152" s="133">
        <f t="shared" si="123"/>
        <v>0.36</v>
      </c>
      <c r="N152" s="383">
        <v>90</v>
      </c>
      <c r="O152" s="134">
        <v>615</v>
      </c>
      <c r="P152" s="428">
        <v>30</v>
      </c>
      <c r="Q152" s="135"/>
      <c r="R152" s="428"/>
      <c r="S152" s="135">
        <v>500</v>
      </c>
      <c r="T152" s="428">
        <v>22</v>
      </c>
      <c r="U152" s="135">
        <v>0.06</v>
      </c>
      <c r="V152" s="428">
        <v>30</v>
      </c>
      <c r="W152" s="136">
        <f t="shared" si="124"/>
        <v>282.75431031197382</v>
      </c>
      <c r="X152" s="137">
        <f t="shared" si="82"/>
        <v>2.1138211382113821</v>
      </c>
      <c r="Y152" s="138">
        <f t="shared" si="125"/>
        <v>1.9655140641258566</v>
      </c>
      <c r="Z152" s="138">
        <f t="shared" si="126"/>
        <v>2.358616876951028E-2</v>
      </c>
      <c r="AA152" s="141"/>
      <c r="AB152" s="140" t="str">
        <f t="shared" si="127"/>
        <v>H28年建築物省エネルギー法</v>
      </c>
      <c r="AC152" s="103" t="s">
        <v>346</v>
      </c>
      <c r="AD152" s="140" t="str">
        <f>VLOOKUP(P152,$B$399:$C$431,2,FALSE)</f>
        <v>「自立循環型住宅 温暖地版」IBEC</v>
      </c>
      <c r="AF152" s="103" t="s">
        <v>407</v>
      </c>
    </row>
    <row r="153" spans="1:32" ht="14.2" customHeight="1" x14ac:dyDescent="0.25">
      <c r="A153" s="128" t="s">
        <v>70</v>
      </c>
      <c r="B153" s="145">
        <v>0.15</v>
      </c>
      <c r="C153" s="364">
        <v>10</v>
      </c>
      <c r="D153" s="130">
        <f>F153*3600*10^-9/760*1.013*10^5</f>
        <v>0.90536128578947372</v>
      </c>
      <c r="E153" s="387">
        <v>90</v>
      </c>
      <c r="F153" s="131">
        <v>1886.79</v>
      </c>
      <c r="G153" s="383">
        <v>51</v>
      </c>
      <c r="H153" s="132">
        <v>12</v>
      </c>
      <c r="I153" s="129">
        <f t="shared" ref="I153:I171" si="128">H153/B153/1000</f>
        <v>0.08</v>
      </c>
      <c r="J153" s="364">
        <v>90</v>
      </c>
      <c r="K153" s="130">
        <f t="shared" ref="K153:K154" si="129">D153*H153/1000</f>
        <v>1.0864335429473683E-2</v>
      </c>
      <c r="L153" s="382">
        <v>90</v>
      </c>
      <c r="M153" s="133">
        <f t="shared" ref="M153:M154" si="130">F153*H153/1000</f>
        <v>22.641479999999998</v>
      </c>
      <c r="N153" s="383">
        <v>90</v>
      </c>
      <c r="O153" s="134">
        <v>1176</v>
      </c>
      <c r="P153" s="428">
        <v>62</v>
      </c>
      <c r="Q153" s="135"/>
      <c r="R153" s="428"/>
      <c r="S153" s="135">
        <v>1000</v>
      </c>
      <c r="T153" s="428">
        <v>22</v>
      </c>
      <c r="U153" s="135">
        <f>((B153/O153)/($B$194/$O$194))*0.2</f>
        <v>3.188775510204081E-2</v>
      </c>
      <c r="V153" s="428">
        <v>90</v>
      </c>
      <c r="W153" s="136">
        <f t="shared" si="124"/>
        <v>420</v>
      </c>
      <c r="X153" s="137">
        <f t="shared" si="82"/>
        <v>1.2755102040816324</v>
      </c>
      <c r="Y153" s="138">
        <f t="shared" si="125"/>
        <v>177.95003403342798</v>
      </c>
      <c r="Z153" s="138">
        <f t="shared" si="126"/>
        <v>2.1354004084011358</v>
      </c>
      <c r="AA153" s="141"/>
      <c r="AB153" s="140" t="str">
        <f t="shared" si="127"/>
        <v>H28年建築物省エネルギー法</v>
      </c>
      <c r="AC153" s="140" t="str">
        <f>VLOOKUP(G153,$B$399:$C$431,2,FALSE)</f>
        <v>「建物の結露」学芸出版社 (2003/04)</v>
      </c>
      <c r="AD153" s="140" t="str">
        <f>VLOOKUP(P153,$B$399:$C$431,2,FALSE)</f>
        <v>SolarDesigner6マニュアル</v>
      </c>
    </row>
    <row r="154" spans="1:32" ht="14.2" customHeight="1" x14ac:dyDescent="0.25">
      <c r="A154" s="128" t="s">
        <v>592</v>
      </c>
      <c r="B154" s="145">
        <v>0.17</v>
      </c>
      <c r="C154" s="364">
        <v>10</v>
      </c>
      <c r="D154" s="130">
        <f>F154*3600*10^-9/760*1.013*10^5</f>
        <v>7.6774736842105257E-2</v>
      </c>
      <c r="E154" s="387">
        <v>90</v>
      </c>
      <c r="F154" s="131">
        <v>160</v>
      </c>
      <c r="G154" s="383">
        <v>22</v>
      </c>
      <c r="H154" s="132">
        <v>12</v>
      </c>
      <c r="I154" s="129">
        <f t="shared" si="128"/>
        <v>7.0588235294117632E-2</v>
      </c>
      <c r="J154" s="364">
        <v>90</v>
      </c>
      <c r="K154" s="130">
        <f t="shared" si="129"/>
        <v>9.2129684210526307E-4</v>
      </c>
      <c r="L154" s="382">
        <v>90</v>
      </c>
      <c r="M154" s="133">
        <f t="shared" si="130"/>
        <v>1.92</v>
      </c>
      <c r="N154" s="383">
        <v>90</v>
      </c>
      <c r="O154" s="134">
        <v>1230</v>
      </c>
      <c r="P154" s="428">
        <v>11</v>
      </c>
      <c r="Q154" s="135">
        <f>O154/S154</f>
        <v>1.2947368421052632</v>
      </c>
      <c r="R154" s="428">
        <v>90</v>
      </c>
      <c r="S154" s="135">
        <v>950</v>
      </c>
      <c r="T154" s="428">
        <v>22</v>
      </c>
      <c r="U154" s="135">
        <f>((B154/O154)/($B$194/$O$194))*0.2</f>
        <v>3.4552845528455285E-2</v>
      </c>
      <c r="V154" s="428">
        <v>11</v>
      </c>
      <c r="W154" s="136">
        <f t="shared" si="124"/>
        <v>457.27453460694704</v>
      </c>
      <c r="X154" s="137">
        <f t="shared" si="82"/>
        <v>1.3821138211382114</v>
      </c>
      <c r="Y154" s="138">
        <f t="shared" si="125"/>
        <v>15.090182503271945</v>
      </c>
      <c r="Z154" s="138">
        <f t="shared" si="126"/>
        <v>0.18108219003926335</v>
      </c>
      <c r="AA154" s="141"/>
      <c r="AB154" s="140" t="str">
        <f t="shared" si="127"/>
        <v>H28年建築物省エネルギー法</v>
      </c>
      <c r="AC154" s="140" t="str">
        <f>VLOOKUP(G154,$B$399:$C$431,2,FALSE)</f>
        <v>「H11年省エネ基準解説」IBEC</v>
      </c>
      <c r="AD154" s="103" t="s">
        <v>410</v>
      </c>
      <c r="AE154" s="103" t="s">
        <v>390</v>
      </c>
    </row>
    <row r="155" spans="1:32" ht="14.2" customHeight="1" x14ac:dyDescent="0.25">
      <c r="A155" s="128" t="s">
        <v>591</v>
      </c>
      <c r="B155" s="145">
        <v>0.12</v>
      </c>
      <c r="C155" s="364">
        <v>10</v>
      </c>
      <c r="D155" s="130">
        <v>0.253</v>
      </c>
      <c r="E155" s="382">
        <v>11</v>
      </c>
      <c r="F155" s="131">
        <v>526</v>
      </c>
      <c r="G155" s="382">
        <v>11</v>
      </c>
      <c r="H155" s="132">
        <v>12</v>
      </c>
      <c r="I155" s="129">
        <f t="shared" si="128"/>
        <v>0.1</v>
      </c>
      <c r="J155" s="364">
        <v>90</v>
      </c>
      <c r="K155" s="130">
        <f t="shared" ref="K155:K158" si="131">D155*H155/1000</f>
        <v>3.0360000000000001E-3</v>
      </c>
      <c r="L155" s="382">
        <v>90</v>
      </c>
      <c r="M155" s="133">
        <f t="shared" ref="M155:M158" si="132">F155*H155/1000</f>
        <v>6.3120000000000003</v>
      </c>
      <c r="N155" s="383">
        <v>90</v>
      </c>
      <c r="O155" s="134"/>
      <c r="P155" s="428"/>
      <c r="Q155" s="135"/>
      <c r="R155" s="428"/>
      <c r="S155" s="135"/>
      <c r="T155" s="428"/>
      <c r="U155" s="135"/>
      <c r="V155" s="428"/>
      <c r="W155" s="136">
        <f t="shared" si="124"/>
        <v>0</v>
      </c>
      <c r="X155" s="137"/>
      <c r="Y155" s="138">
        <f t="shared" si="125"/>
        <v>49.727505822384181</v>
      </c>
      <c r="Z155" s="138">
        <f t="shared" si="126"/>
        <v>0.59673006986861021</v>
      </c>
      <c r="AA155" s="187"/>
      <c r="AB155" s="140" t="str">
        <f t="shared" si="127"/>
        <v>H28年建築物省エネルギー法</v>
      </c>
      <c r="AC155" s="103" t="s">
        <v>346</v>
      </c>
      <c r="AE155" s="103" t="s">
        <v>390</v>
      </c>
      <c r="AF155" s="103" t="s">
        <v>404</v>
      </c>
    </row>
    <row r="156" spans="1:32" ht="14.2" customHeight="1" x14ac:dyDescent="0.25">
      <c r="A156" s="128" t="s">
        <v>590</v>
      </c>
      <c r="B156" s="145">
        <v>0.12</v>
      </c>
      <c r="C156" s="364">
        <v>10</v>
      </c>
      <c r="D156" s="130"/>
      <c r="E156" s="387"/>
      <c r="F156" s="131"/>
      <c r="G156" s="383"/>
      <c r="H156" s="132"/>
      <c r="I156" s="129"/>
      <c r="J156" s="364"/>
      <c r="K156" s="130"/>
      <c r="L156" s="382"/>
      <c r="M156" s="133"/>
      <c r="N156" s="383"/>
      <c r="O156" s="134"/>
      <c r="P156" s="428"/>
      <c r="Q156" s="135"/>
      <c r="R156" s="428"/>
      <c r="S156" s="135"/>
      <c r="T156" s="428"/>
      <c r="U156" s="135"/>
      <c r="V156" s="428"/>
      <c r="W156" s="136">
        <f t="shared" si="124"/>
        <v>0</v>
      </c>
      <c r="X156" s="137"/>
      <c r="Y156" s="138"/>
      <c r="Z156" s="138"/>
      <c r="AA156" s="187"/>
      <c r="AB156" s="140" t="str">
        <f t="shared" si="127"/>
        <v>H28年建築物省エネルギー法</v>
      </c>
    </row>
    <row r="157" spans="1:32" ht="14.2" customHeight="1" x14ac:dyDescent="0.25">
      <c r="A157" s="128" t="s">
        <v>245</v>
      </c>
      <c r="B157" s="145">
        <v>5.6000000000000001E-2</v>
      </c>
      <c r="C157" s="364">
        <v>10</v>
      </c>
      <c r="D157" s="130">
        <f>F157*3600*10^-9/760*1.013*10^5</f>
        <v>4.998035368421052E-2</v>
      </c>
      <c r="E157" s="387">
        <v>90</v>
      </c>
      <c r="F157" s="131">
        <v>104.16</v>
      </c>
      <c r="G157" s="383">
        <v>51</v>
      </c>
      <c r="H157" s="132">
        <v>12</v>
      </c>
      <c r="I157" s="129">
        <f t="shared" si="128"/>
        <v>0.21428571428571427</v>
      </c>
      <c r="J157" s="364">
        <v>90</v>
      </c>
      <c r="K157" s="130">
        <f t="shared" si="131"/>
        <v>5.9976424421052618E-4</v>
      </c>
      <c r="L157" s="382">
        <v>90</v>
      </c>
      <c r="M157" s="133">
        <f t="shared" si="132"/>
        <v>1.2499200000000001</v>
      </c>
      <c r="N157" s="383">
        <v>90</v>
      </c>
      <c r="O157" s="134"/>
      <c r="P157" s="428"/>
      <c r="Q157" s="135"/>
      <c r="R157" s="428"/>
      <c r="S157" s="135" t="s">
        <v>264</v>
      </c>
      <c r="T157" s="428">
        <v>1</v>
      </c>
      <c r="U157" s="135"/>
      <c r="V157" s="428"/>
      <c r="W157" s="136">
        <f t="shared" si="124"/>
        <v>0</v>
      </c>
      <c r="X157" s="137"/>
      <c r="Y157" s="138">
        <f t="shared" si="125"/>
        <v>9.8237088096300358</v>
      </c>
      <c r="Z157" s="138">
        <f t="shared" si="126"/>
        <v>0.11788450571556043</v>
      </c>
      <c r="AA157" s="141"/>
      <c r="AB157" s="140" t="str">
        <f t="shared" si="127"/>
        <v>H28年建築物省エネルギー法</v>
      </c>
      <c r="AC157" s="140" t="str">
        <f>VLOOKUP(G157,$B$399:$C$431,2,FALSE)</f>
        <v>「建物の結露」学芸出版社 (2003/04)</v>
      </c>
      <c r="AD157" s="140"/>
      <c r="AE157" s="103" t="s">
        <v>392</v>
      </c>
    </row>
    <row r="158" spans="1:32" ht="14.2" customHeight="1" x14ac:dyDescent="0.25">
      <c r="A158" s="128" t="s">
        <v>30</v>
      </c>
      <c r="B158" s="145">
        <v>5.8000000000000003E-2</v>
      </c>
      <c r="C158" s="364">
        <v>10</v>
      </c>
      <c r="D158" s="130">
        <f>F158*3600*10^-9/760*1.013*10^5</f>
        <v>2.5431631578947365E-2</v>
      </c>
      <c r="E158" s="387">
        <v>90</v>
      </c>
      <c r="F158" s="131">
        <v>53</v>
      </c>
      <c r="G158" s="383">
        <v>22</v>
      </c>
      <c r="H158" s="132">
        <v>12</v>
      </c>
      <c r="I158" s="129">
        <f t="shared" si="128"/>
        <v>0.2068965517241379</v>
      </c>
      <c r="J158" s="364">
        <v>90</v>
      </c>
      <c r="K158" s="130">
        <f t="shared" si="131"/>
        <v>3.0517957894736833E-4</v>
      </c>
      <c r="L158" s="382">
        <v>90</v>
      </c>
      <c r="M158" s="133">
        <f t="shared" si="132"/>
        <v>0.63600000000000001</v>
      </c>
      <c r="N158" s="383">
        <v>90</v>
      </c>
      <c r="O158" s="134">
        <v>390</v>
      </c>
      <c r="P158" s="428">
        <v>62</v>
      </c>
      <c r="Q158" s="135"/>
      <c r="R158" s="428"/>
      <c r="S158" s="135" t="s">
        <v>262</v>
      </c>
      <c r="T158" s="428">
        <v>1</v>
      </c>
      <c r="U158" s="135">
        <f>((B158/O158)/($B$194/$O$194))*0.2</f>
        <v>3.7179487179487179E-2</v>
      </c>
      <c r="V158" s="428">
        <v>90</v>
      </c>
      <c r="W158" s="136">
        <f t="shared" si="124"/>
        <v>150.39946808416579</v>
      </c>
      <c r="X158" s="137">
        <f t="shared" si="82"/>
        <v>1.4871794871794872</v>
      </c>
      <c r="Y158" s="138">
        <f t="shared" si="125"/>
        <v>4.9986229542088312</v>
      </c>
      <c r="Z158" s="138">
        <f t="shared" si="126"/>
        <v>5.9983475450505974E-2</v>
      </c>
      <c r="AA158" s="141"/>
      <c r="AB158" s="140" t="str">
        <f t="shared" si="127"/>
        <v>H28年建築物省エネルギー法</v>
      </c>
      <c r="AC158" s="140" t="str">
        <f>VLOOKUP(G158,$B$399:$C$431,2,FALSE)</f>
        <v>「H11年省エネ基準解説」IBEC</v>
      </c>
      <c r="AD158" s="140" t="str">
        <f>VLOOKUP(P158,$B$399:$C$431,2,FALSE)</f>
        <v>SolarDesigner6マニュアル</v>
      </c>
      <c r="AE158" s="103" t="s">
        <v>392</v>
      </c>
    </row>
    <row r="159" spans="1:32" ht="14.2" customHeight="1" x14ac:dyDescent="0.25">
      <c r="A159" s="188" t="s">
        <v>265</v>
      </c>
      <c r="B159" s="189">
        <v>6.7000000000000004E-2</v>
      </c>
      <c r="C159" s="364">
        <v>10</v>
      </c>
      <c r="D159" s="130">
        <v>5.3199999999999997E-2</v>
      </c>
      <c r="E159" s="382">
        <v>11</v>
      </c>
      <c r="F159" s="158">
        <v>111</v>
      </c>
      <c r="G159" s="382">
        <v>11</v>
      </c>
      <c r="H159" s="190">
        <v>12</v>
      </c>
      <c r="I159" s="129">
        <f t="shared" si="128"/>
        <v>0.17910447761194029</v>
      </c>
      <c r="J159" s="364">
        <v>90</v>
      </c>
      <c r="K159" s="130">
        <f t="shared" ref="K159" si="133">D159*H159/1000</f>
        <v>6.3840000000000001E-4</v>
      </c>
      <c r="L159" s="382">
        <v>90</v>
      </c>
      <c r="M159" s="133">
        <f t="shared" ref="M159" si="134">F159*H159/1000</f>
        <v>1.3320000000000001</v>
      </c>
      <c r="N159" s="383">
        <v>90</v>
      </c>
      <c r="O159" s="191">
        <v>520</v>
      </c>
      <c r="P159" s="434">
        <v>62</v>
      </c>
      <c r="Q159" s="142"/>
      <c r="R159" s="434"/>
      <c r="S159" s="142" t="s">
        <v>266</v>
      </c>
      <c r="T159" s="434">
        <v>1</v>
      </c>
      <c r="U159" s="135">
        <f>((B159/O159)/($B$194/$O$194))*0.2</f>
        <v>3.2211538461538465E-2</v>
      </c>
      <c r="V159" s="434">
        <v>90</v>
      </c>
      <c r="W159" s="136">
        <f t="shared" si="124"/>
        <v>186.65476152512156</v>
      </c>
      <c r="X159" s="137">
        <f t="shared" si="82"/>
        <v>1.2884615384615388</v>
      </c>
      <c r="Y159" s="138">
        <f t="shared" si="125"/>
        <v>10.456534821149559</v>
      </c>
      <c r="Z159" s="138">
        <f t="shared" si="126"/>
        <v>0.12547841785379471</v>
      </c>
      <c r="AA159" s="192"/>
      <c r="AB159" s="140" t="str">
        <f t="shared" si="127"/>
        <v>H28年建築物省エネルギー法</v>
      </c>
      <c r="AC159" s="103" t="s">
        <v>346</v>
      </c>
      <c r="AD159" s="140" t="str">
        <f>VLOOKUP(P159,$B$399:$C$431,2,FALSE)</f>
        <v>SolarDesigner6マニュアル</v>
      </c>
      <c r="AE159" s="103" t="s">
        <v>392</v>
      </c>
      <c r="AF159" s="103" t="s">
        <v>404</v>
      </c>
    </row>
    <row r="160" spans="1:32" ht="14.2" customHeight="1" x14ac:dyDescent="0.25">
      <c r="A160" s="128" t="s">
        <v>244</v>
      </c>
      <c r="B160" s="145">
        <v>0.16700000000000001</v>
      </c>
      <c r="C160" s="364">
        <v>10</v>
      </c>
      <c r="D160" s="130">
        <f>F160*3600*10^-9/760*1.013*10^5</f>
        <v>0.3016607368421052</v>
      </c>
      <c r="E160" s="387">
        <v>90</v>
      </c>
      <c r="F160" s="131">
        <f>M160/(H160/1000)</f>
        <v>628.66666666666663</v>
      </c>
      <c r="G160" s="383">
        <v>90</v>
      </c>
      <c r="H160" s="132">
        <v>15</v>
      </c>
      <c r="I160" s="129">
        <f t="shared" si="128"/>
        <v>8.9820359281437126E-2</v>
      </c>
      <c r="J160" s="364">
        <v>90</v>
      </c>
      <c r="K160" s="130">
        <f t="shared" ref="K160" si="135">M160*3600*1000/760*1.013*10^5*10^-12</f>
        <v>4.5249110526315783E-3</v>
      </c>
      <c r="L160" s="382">
        <v>90</v>
      </c>
      <c r="M160" s="133">
        <v>9.43</v>
      </c>
      <c r="N160" s="383">
        <v>31</v>
      </c>
      <c r="O160" s="134">
        <v>720</v>
      </c>
      <c r="P160" s="428">
        <v>11</v>
      </c>
      <c r="Q160" s="135">
        <f>O160/S160</f>
        <v>1.3090909090909091</v>
      </c>
      <c r="R160" s="428">
        <v>90</v>
      </c>
      <c r="S160" s="135">
        <v>550</v>
      </c>
      <c r="T160" s="428">
        <v>22</v>
      </c>
      <c r="U160" s="135">
        <v>0.05</v>
      </c>
      <c r="V160" s="428">
        <v>11</v>
      </c>
      <c r="W160" s="136">
        <f t="shared" si="124"/>
        <v>346.75639864319737</v>
      </c>
      <c r="X160" s="137">
        <f t="shared" si="82"/>
        <v>2.3194444444444446</v>
      </c>
      <c r="Y160" s="138">
        <f t="shared" si="125"/>
        <v>59.291842085772679</v>
      </c>
      <c r="Z160" s="138">
        <f t="shared" si="126"/>
        <v>0.8893776312865902</v>
      </c>
      <c r="AA160" s="139" t="s">
        <v>47</v>
      </c>
      <c r="AB160" s="140" t="str">
        <f t="shared" si="127"/>
        <v>H28年建築物省エネルギー法</v>
      </c>
      <c r="AC160" s="140" t="str">
        <f>VLOOKUP(N160,$B$399:$C$431,2,FALSE)</f>
        <v>「結露防止ガイドブック」IBEC</v>
      </c>
      <c r="AD160" s="103" t="s">
        <v>410</v>
      </c>
      <c r="AE160" s="103" t="s">
        <v>393</v>
      </c>
    </row>
    <row r="161" spans="1:32" ht="14.2" customHeight="1" x14ac:dyDescent="0.25">
      <c r="A161" s="128" t="s">
        <v>242</v>
      </c>
      <c r="B161" s="145">
        <v>0.16300000000000001</v>
      </c>
      <c r="C161" s="364">
        <v>63</v>
      </c>
      <c r="D161" s="130">
        <v>1.68</v>
      </c>
      <c r="E161" s="382">
        <v>11</v>
      </c>
      <c r="F161" s="131">
        <v>3510</v>
      </c>
      <c r="G161" s="382">
        <v>11</v>
      </c>
      <c r="H161" s="132">
        <v>12</v>
      </c>
      <c r="I161" s="129">
        <f t="shared" si="128"/>
        <v>7.3619631901840496E-2</v>
      </c>
      <c r="J161" s="364">
        <v>90</v>
      </c>
      <c r="K161" s="130">
        <f t="shared" ref="K161:K163" si="136">D161*H161/1000</f>
        <v>2.0160000000000001E-2</v>
      </c>
      <c r="L161" s="382">
        <v>90</v>
      </c>
      <c r="M161" s="133">
        <f t="shared" ref="M161:M163" si="137">F161*H161/1000</f>
        <v>42.12</v>
      </c>
      <c r="N161" s="383">
        <v>90</v>
      </c>
      <c r="O161" s="134">
        <v>1440</v>
      </c>
      <c r="P161" s="428">
        <v>54</v>
      </c>
      <c r="Q161" s="135">
        <v>1.8</v>
      </c>
      <c r="R161" s="428">
        <v>17</v>
      </c>
      <c r="S161" s="135"/>
      <c r="T161" s="428"/>
      <c r="U161" s="135">
        <f>((B161/O161)/($B$194/$O$194))*0.2</f>
        <v>2.8298611111111111E-2</v>
      </c>
      <c r="V161" s="428">
        <v>90</v>
      </c>
      <c r="W161" s="136">
        <f t="shared" si="124"/>
        <v>484.47910171647237</v>
      </c>
      <c r="X161" s="137">
        <f t="shared" si="82"/>
        <v>1.1319444444444444</v>
      </c>
      <c r="Y161" s="138">
        <f t="shared" si="125"/>
        <v>330.20636277314395</v>
      </c>
      <c r="Z161" s="138">
        <f t="shared" si="126"/>
        <v>3.9624763532777276</v>
      </c>
      <c r="AA161" s="144"/>
      <c r="AB161" s="140" t="str">
        <f t="shared" si="127"/>
        <v>WinDEWマニュアル</v>
      </c>
      <c r="AC161" s="103" t="s">
        <v>346</v>
      </c>
      <c r="AD161" s="140" t="str">
        <f>VLOOKUP(P161,$B$399:$C$431,2,FALSE)</f>
        <v>「健康なすまいへの道」建築資料研究社</v>
      </c>
      <c r="AF161" s="103" t="s">
        <v>404</v>
      </c>
    </row>
    <row r="162" spans="1:32" ht="14.2" customHeight="1" x14ac:dyDescent="0.25">
      <c r="A162" s="128" t="s">
        <v>69</v>
      </c>
      <c r="B162" s="145">
        <v>0.1</v>
      </c>
      <c r="C162" s="364">
        <v>22</v>
      </c>
      <c r="D162" s="130">
        <v>2.5999999999999999E-2</v>
      </c>
      <c r="E162" s="382">
        <v>11</v>
      </c>
      <c r="F162" s="131">
        <v>54</v>
      </c>
      <c r="G162" s="382">
        <v>11</v>
      </c>
      <c r="H162" s="132">
        <v>12</v>
      </c>
      <c r="I162" s="129">
        <f t="shared" si="128"/>
        <v>0.12</v>
      </c>
      <c r="J162" s="364">
        <v>90</v>
      </c>
      <c r="K162" s="130">
        <f t="shared" si="136"/>
        <v>3.1199999999999999E-4</v>
      </c>
      <c r="L162" s="382">
        <v>90</v>
      </c>
      <c r="M162" s="133">
        <f t="shared" si="137"/>
        <v>0.64800000000000002</v>
      </c>
      <c r="N162" s="383">
        <v>90</v>
      </c>
      <c r="O162" s="134">
        <v>760</v>
      </c>
      <c r="P162" s="428">
        <v>54</v>
      </c>
      <c r="Q162" s="135">
        <v>1.9</v>
      </c>
      <c r="R162" s="428">
        <v>17</v>
      </c>
      <c r="S162" s="135" t="s">
        <v>243</v>
      </c>
      <c r="T162" s="428">
        <v>1</v>
      </c>
      <c r="U162" s="135">
        <f>((B162/O162)/($B$194/$O$194))*0.2</f>
        <v>3.2894736842105261E-2</v>
      </c>
      <c r="V162" s="428">
        <v>90</v>
      </c>
      <c r="W162" s="136">
        <f t="shared" si="124"/>
        <v>275.68097504180446</v>
      </c>
      <c r="X162" s="137">
        <f t="shared" ref="X162:X223" si="138">B162/O162*10000</f>
        <v>1.3157894736842104</v>
      </c>
      <c r="Y162" s="138">
        <f t="shared" si="125"/>
        <v>5.110336566727228</v>
      </c>
      <c r="Z162" s="138">
        <f t="shared" si="126"/>
        <v>6.1324038800726739E-2</v>
      </c>
      <c r="AA162" s="141"/>
      <c r="AB162" s="140" t="str">
        <f t="shared" si="127"/>
        <v>「H11年省エネ基準解説」IBEC</v>
      </c>
      <c r="AC162" s="103" t="s">
        <v>346</v>
      </c>
      <c r="AD162" s="140" t="str">
        <f>VLOOKUP(P162,$B$399:$C$431,2,FALSE)</f>
        <v>「健康なすまいへの道」建築資料研究社</v>
      </c>
    </row>
    <row r="163" spans="1:32" ht="14.2" customHeight="1" x14ac:dyDescent="0.25">
      <c r="A163" s="128" t="s">
        <v>260</v>
      </c>
      <c r="B163" s="145">
        <v>0.1</v>
      </c>
      <c r="C163" s="364">
        <v>99</v>
      </c>
      <c r="D163" s="130">
        <v>0.01</v>
      </c>
      <c r="E163" s="382">
        <v>11</v>
      </c>
      <c r="F163" s="131">
        <v>25</v>
      </c>
      <c r="G163" s="382">
        <v>11</v>
      </c>
      <c r="H163" s="132">
        <v>12</v>
      </c>
      <c r="I163" s="129">
        <f t="shared" si="128"/>
        <v>0.12</v>
      </c>
      <c r="J163" s="364">
        <v>90</v>
      </c>
      <c r="K163" s="130">
        <f t="shared" si="136"/>
        <v>1.1999999999999999E-4</v>
      </c>
      <c r="L163" s="382">
        <v>90</v>
      </c>
      <c r="M163" s="133">
        <f t="shared" si="137"/>
        <v>0.3</v>
      </c>
      <c r="N163" s="383">
        <v>90</v>
      </c>
      <c r="O163" s="134">
        <v>760</v>
      </c>
      <c r="P163" s="428">
        <v>54</v>
      </c>
      <c r="Q163" s="135">
        <v>1.9</v>
      </c>
      <c r="R163" s="428">
        <v>17</v>
      </c>
      <c r="S163" s="135"/>
      <c r="T163" s="428"/>
      <c r="U163" s="135">
        <f>((B163/O163)/($B$194/$O$194))*0.2</f>
        <v>3.2894736842105261E-2</v>
      </c>
      <c r="V163" s="428">
        <v>90</v>
      </c>
      <c r="W163" s="136">
        <f t="shared" si="124"/>
        <v>275.68097504180446</v>
      </c>
      <c r="X163" s="137">
        <f t="shared" si="138"/>
        <v>1.3157894736842104</v>
      </c>
      <c r="Y163" s="138">
        <f t="shared" si="125"/>
        <v>1.9655140641258566</v>
      </c>
      <c r="Z163" s="138">
        <f t="shared" si="126"/>
        <v>2.358616876951028E-2</v>
      </c>
      <c r="AA163" s="141"/>
      <c r="AB163" s="140" t="str">
        <f t="shared" si="127"/>
        <v>推測値</v>
      </c>
      <c r="AC163" s="103" t="s">
        <v>346</v>
      </c>
      <c r="AD163" s="140" t="str">
        <f>VLOOKUP(P163,$B$399:$C$431,2,FALSE)</f>
        <v>「健康なすまいへの道」建築資料研究社</v>
      </c>
    </row>
    <row r="164" spans="1:32" ht="14.2" customHeight="1" x14ac:dyDescent="0.25">
      <c r="A164" s="128" t="s">
        <v>287</v>
      </c>
      <c r="B164" s="145">
        <v>0.15</v>
      </c>
      <c r="C164" s="364">
        <v>55</v>
      </c>
      <c r="D164" s="157">
        <f>F164*3600*10^-9/760*1.013*10^5</f>
        <v>1.1232667464114834</v>
      </c>
      <c r="E164" s="383">
        <v>90</v>
      </c>
      <c r="F164" s="131">
        <v>2340.909090909091</v>
      </c>
      <c r="G164" s="383">
        <v>90</v>
      </c>
      <c r="H164" s="132">
        <v>8.8000000000000007</v>
      </c>
      <c r="I164" s="129">
        <f t="shared" si="128"/>
        <v>5.8666666666666673E-2</v>
      </c>
      <c r="J164" s="364">
        <v>90</v>
      </c>
      <c r="K164" s="130">
        <f t="shared" ref="K164" si="139">M164*3600*1000/760*1.013*10^5*10^-12</f>
        <v>9.8847473684210516E-3</v>
      </c>
      <c r="L164" s="382">
        <v>90</v>
      </c>
      <c r="M164" s="133">
        <v>20.6</v>
      </c>
      <c r="N164" s="383">
        <v>55</v>
      </c>
      <c r="O164" s="134">
        <v>720</v>
      </c>
      <c r="P164" s="428">
        <v>30</v>
      </c>
      <c r="Q164" s="135"/>
      <c r="R164" s="428"/>
      <c r="S164" s="135"/>
      <c r="T164" s="428"/>
      <c r="U164" s="135">
        <v>0.06</v>
      </c>
      <c r="V164" s="428">
        <v>30</v>
      </c>
      <c r="W164" s="136">
        <f t="shared" si="124"/>
        <v>328.63353450309967</v>
      </c>
      <c r="X164" s="137">
        <f t="shared" si="138"/>
        <v>2.083333333333333</v>
      </c>
      <c r="Y164" s="138">
        <f t="shared" si="125"/>
        <v>220.77965878366626</v>
      </c>
      <c r="Z164" s="138">
        <f t="shared" si="126"/>
        <v>1.9428609972962632</v>
      </c>
      <c r="AA164" s="144"/>
      <c r="AB164" s="140" t="str">
        <f t="shared" si="127"/>
        <v>「新「そらどまの家」」萌文社</v>
      </c>
      <c r="AC164" s="140" t="str">
        <f>VLOOKUP(N164,$B$399:$C$431,2,FALSE)</f>
        <v>「新「そらどまの家」」萌文社</v>
      </c>
      <c r="AD164" s="140" t="str">
        <f>VLOOKUP(P164,$B$399:$C$431,2,FALSE)</f>
        <v>「自立循環型住宅 温暖地版」IBEC</v>
      </c>
    </row>
    <row r="165" spans="1:32" ht="14.2" customHeight="1" x14ac:dyDescent="0.25">
      <c r="A165" s="128" t="s">
        <v>536</v>
      </c>
      <c r="B165" s="145">
        <v>0.17</v>
      </c>
      <c r="C165" s="364">
        <v>55</v>
      </c>
      <c r="D165" s="157">
        <f>F165*3600*10^-9/760*1.013*10^5</f>
        <v>0.54915263157894745</v>
      </c>
      <c r="E165" s="383">
        <v>90</v>
      </c>
      <c r="F165" s="131">
        <v>1144.4444444444446</v>
      </c>
      <c r="G165" s="383">
        <v>90</v>
      </c>
      <c r="H165" s="132">
        <v>9</v>
      </c>
      <c r="I165" s="129">
        <f t="shared" si="128"/>
        <v>5.2941176470588235E-2</v>
      </c>
      <c r="J165" s="364">
        <v>90</v>
      </c>
      <c r="K165" s="130">
        <f>M165*3600*1000/760*1.013*10^5*10^-12</f>
        <v>4.9423736842105258E-3</v>
      </c>
      <c r="L165" s="382">
        <v>90</v>
      </c>
      <c r="M165" s="133">
        <v>10.3</v>
      </c>
      <c r="N165" s="383">
        <v>55</v>
      </c>
      <c r="O165" s="134"/>
      <c r="P165" s="428"/>
      <c r="Q165" s="135"/>
      <c r="R165" s="428"/>
      <c r="S165" s="135"/>
      <c r="T165" s="428"/>
      <c r="U165" s="135"/>
      <c r="V165" s="428"/>
      <c r="W165" s="136">
        <f t="shared" si="124"/>
        <v>0</v>
      </c>
      <c r="X165" s="137"/>
      <c r="Y165" s="138">
        <f t="shared" si="125"/>
        <v>107.93672207201462</v>
      </c>
      <c r="Z165" s="138">
        <f t="shared" si="126"/>
        <v>0.97143049864813147</v>
      </c>
      <c r="AA165" s="144"/>
      <c r="AB165" s="140" t="str">
        <f t="shared" si="127"/>
        <v>「新「そらどまの家」」萌文社</v>
      </c>
      <c r="AC165" s="140" t="str">
        <f>VLOOKUP(N165,$B$399:$C$431,2,FALSE)</f>
        <v>「新「そらどまの家」」萌文社</v>
      </c>
      <c r="AD165" s="140"/>
    </row>
    <row r="166" spans="1:32" ht="14.2" customHeight="1" x14ac:dyDescent="0.25">
      <c r="A166" s="128" t="s">
        <v>241</v>
      </c>
      <c r="B166" s="145">
        <v>0.12</v>
      </c>
      <c r="C166" s="364">
        <v>71</v>
      </c>
      <c r="D166" s="157">
        <f>K166/0.036</f>
        <v>5.4444444444444446</v>
      </c>
      <c r="E166" s="383">
        <v>90</v>
      </c>
      <c r="F166" s="131">
        <f>M166/(H166/1000)</f>
        <v>11343.53024691358</v>
      </c>
      <c r="G166" s="383">
        <v>90</v>
      </c>
      <c r="H166" s="132">
        <v>36</v>
      </c>
      <c r="I166" s="129">
        <f t="shared" si="128"/>
        <v>0.3</v>
      </c>
      <c r="J166" s="364">
        <v>90</v>
      </c>
      <c r="K166" s="157">
        <v>0.19600000000000001</v>
      </c>
      <c r="L166" s="382">
        <v>72</v>
      </c>
      <c r="M166" s="133">
        <f>K166*1000000000*0.00750062/3600</f>
        <v>408.36708888888887</v>
      </c>
      <c r="N166" s="383">
        <v>90</v>
      </c>
      <c r="O166" s="134"/>
      <c r="P166" s="428"/>
      <c r="Q166" s="135"/>
      <c r="R166" s="428"/>
      <c r="S166" s="135"/>
      <c r="T166" s="428"/>
      <c r="U166" s="135"/>
      <c r="V166" s="428"/>
      <c r="W166" s="136">
        <f t="shared" si="124"/>
        <v>0</v>
      </c>
      <c r="X166" s="137"/>
      <c r="Y166" s="138">
        <f t="shared" si="125"/>
        <v>1070.1132126907444</v>
      </c>
      <c r="Z166" s="138">
        <f t="shared" si="126"/>
        <v>38.524075656866792</v>
      </c>
      <c r="AA166" s="144" t="s">
        <v>667</v>
      </c>
      <c r="AB166" s="140" t="str">
        <f t="shared" si="127"/>
        <v>メーカー公表値</v>
      </c>
      <c r="AC166" s="140" t="str">
        <f>VLOOKUP(L166,$B$399:$C$431,2,FALSE)</f>
        <v>メーカー性能試験データ</v>
      </c>
      <c r="AD166" s="140"/>
    </row>
    <row r="167" spans="1:32" ht="14.2" customHeight="1" x14ac:dyDescent="0.25">
      <c r="A167" s="128" t="s">
        <v>258</v>
      </c>
      <c r="B167" s="145">
        <v>0.16300000000000001</v>
      </c>
      <c r="C167" s="364">
        <v>63</v>
      </c>
      <c r="D167" s="157">
        <f t="shared" ref="D167:D172" si="140">F167*3600*10^-9/760*1.013*10^5</f>
        <v>0.43185789473684211</v>
      </c>
      <c r="E167" s="383">
        <v>90</v>
      </c>
      <c r="F167" s="131">
        <v>900</v>
      </c>
      <c r="G167" s="383">
        <v>71</v>
      </c>
      <c r="H167" s="132">
        <v>12</v>
      </c>
      <c r="I167" s="129">
        <f t="shared" si="128"/>
        <v>7.3619631901840496E-2</v>
      </c>
      <c r="J167" s="364">
        <v>90</v>
      </c>
      <c r="K167" s="157">
        <f>D167*H167/1000</f>
        <v>5.1822947368421052E-3</v>
      </c>
      <c r="L167" s="382">
        <v>90</v>
      </c>
      <c r="M167" s="133">
        <f>F167*H167/1000</f>
        <v>10.8</v>
      </c>
      <c r="N167" s="383">
        <v>90</v>
      </c>
      <c r="O167" s="134">
        <v>715</v>
      </c>
      <c r="P167" s="428">
        <v>62</v>
      </c>
      <c r="Q167" s="135"/>
      <c r="R167" s="428"/>
      <c r="S167" s="135"/>
      <c r="T167" s="428"/>
      <c r="U167" s="135"/>
      <c r="V167" s="428"/>
      <c r="W167" s="136">
        <f t="shared" si="124"/>
        <v>341.38687731077187</v>
      </c>
      <c r="X167" s="137">
        <f t="shared" si="138"/>
        <v>2.27972027972028</v>
      </c>
      <c r="Y167" s="138">
        <f t="shared" si="125"/>
        <v>84.882276580904701</v>
      </c>
      <c r="Z167" s="138">
        <f t="shared" si="126"/>
        <v>1.0185873189708565</v>
      </c>
      <c r="AA167" s="144"/>
      <c r="AB167" s="140" t="str">
        <f t="shared" si="127"/>
        <v>WinDEWマニュアル</v>
      </c>
      <c r="AC167" s="140" t="str">
        <f>VLOOKUP(G167,$B$399:$C$431,2,FALSE)</f>
        <v>メーカー公表値</v>
      </c>
      <c r="AD167" s="140" t="str">
        <f>VLOOKUP(P167,$B$399:$C$431,2,FALSE)</f>
        <v>SolarDesigner6マニュアル</v>
      </c>
    </row>
    <row r="168" spans="1:32" ht="14.2" customHeight="1" x14ac:dyDescent="0.25">
      <c r="A168" s="128" t="s">
        <v>259</v>
      </c>
      <c r="B168" s="145">
        <v>0.16300000000000001</v>
      </c>
      <c r="C168" s="364">
        <v>99</v>
      </c>
      <c r="D168" s="157">
        <f t="shared" si="140"/>
        <v>0.38019329526315782</v>
      </c>
      <c r="E168" s="383">
        <v>90</v>
      </c>
      <c r="F168" s="131">
        <v>792.33</v>
      </c>
      <c r="G168" s="383">
        <v>71</v>
      </c>
      <c r="H168" s="190">
        <v>5.5</v>
      </c>
      <c r="I168" s="129">
        <f t="shared" si="128"/>
        <v>3.3742331288343558E-2</v>
      </c>
      <c r="J168" s="364">
        <v>90</v>
      </c>
      <c r="K168" s="157">
        <f>D168*H168/1000</f>
        <v>2.0910631239473682E-3</v>
      </c>
      <c r="L168" s="382">
        <v>90</v>
      </c>
      <c r="M168" s="133">
        <f>F168*H168/1000</f>
        <v>4.3578150000000004</v>
      </c>
      <c r="N168" s="383">
        <v>90</v>
      </c>
      <c r="O168" s="134">
        <v>715</v>
      </c>
      <c r="P168" s="428">
        <v>62</v>
      </c>
      <c r="Q168" s="135"/>
      <c r="R168" s="428"/>
      <c r="S168" s="135"/>
      <c r="T168" s="428"/>
      <c r="U168" s="135"/>
      <c r="V168" s="428"/>
      <c r="W168" s="136">
        <f t="shared" si="124"/>
        <v>341.38687731077187</v>
      </c>
      <c r="X168" s="137">
        <f t="shared" si="138"/>
        <v>2.27972027972028</v>
      </c>
      <c r="Y168" s="138">
        <f t="shared" si="125"/>
        <v>74.727526892609134</v>
      </c>
      <c r="Z168" s="138">
        <f t="shared" si="126"/>
        <v>0.4110013979093502</v>
      </c>
      <c r="AA168" s="144"/>
      <c r="AB168" s="140" t="str">
        <f t="shared" si="127"/>
        <v>推測値</v>
      </c>
      <c r="AC168" s="140" t="str">
        <f>VLOOKUP(G168,$B$399:$C$431,2,FALSE)</f>
        <v>メーカー公表値</v>
      </c>
      <c r="AD168" s="140" t="str">
        <f>VLOOKUP(P168,$B$399:$C$431,2,FALSE)</f>
        <v>SolarDesigner6マニュアル</v>
      </c>
    </row>
    <row r="169" spans="1:32" ht="14.2" customHeight="1" x14ac:dyDescent="0.25">
      <c r="A169" s="156" t="s">
        <v>240</v>
      </c>
      <c r="B169" s="152">
        <v>5.1999999999999998E-2</v>
      </c>
      <c r="C169" s="398">
        <v>31</v>
      </c>
      <c r="D169" s="157">
        <f>F169*3600*10^-9/760*1.013*10^5</f>
        <v>0.11596184210526315</v>
      </c>
      <c r="E169" s="383">
        <v>90</v>
      </c>
      <c r="F169" s="131">
        <f>M169/(H169/1000)</f>
        <v>241.66666666666666</v>
      </c>
      <c r="G169" s="383">
        <v>90</v>
      </c>
      <c r="H169" s="190">
        <v>12</v>
      </c>
      <c r="I169" s="129">
        <f t="shared" si="128"/>
        <v>0.23076923076923078</v>
      </c>
      <c r="J169" s="364">
        <v>90</v>
      </c>
      <c r="K169" s="157">
        <f t="shared" ref="K169:K170" si="141">M169*3600*1000/760*1.013*10^5*10^-12</f>
        <v>1.3915421052631577E-3</v>
      </c>
      <c r="L169" s="382">
        <v>90</v>
      </c>
      <c r="M169" s="133">
        <v>2.9</v>
      </c>
      <c r="N169" s="383">
        <v>31</v>
      </c>
      <c r="O169" s="134">
        <v>390.14</v>
      </c>
      <c r="P169" s="428">
        <v>61</v>
      </c>
      <c r="Q169" s="135"/>
      <c r="R169" s="428"/>
      <c r="S169" s="135"/>
      <c r="T169" s="428"/>
      <c r="U169" s="135">
        <f>((B169/O169)/($B$194/$O$194))*0.2</f>
        <v>3.3321371815245811E-2</v>
      </c>
      <c r="V169" s="428">
        <v>90</v>
      </c>
      <c r="W169" s="136">
        <f t="shared" si="124"/>
        <v>142.43342304389094</v>
      </c>
      <c r="X169" s="137">
        <f t="shared" si="138"/>
        <v>1.3328548726098324</v>
      </c>
      <c r="Y169" s="138">
        <f t="shared" si="125"/>
        <v>22.792463155983668</v>
      </c>
      <c r="Z169" s="138">
        <f t="shared" si="126"/>
        <v>0.27350955787180403</v>
      </c>
      <c r="AA169" s="154"/>
      <c r="AB169" s="140" t="str">
        <f t="shared" si="127"/>
        <v>「結露防止ガイドブック」IBEC</v>
      </c>
      <c r="AC169" s="140" t="str">
        <f>VLOOKUP(N169,$B$399:$C$431,2,FALSE)</f>
        <v>「結露防止ガイドブック」IBEC</v>
      </c>
      <c r="AD169" s="140" t="str">
        <f>VLOOKUP(P169,$B$399:$C$431,2,FALSE)</f>
        <v>smash マニュアル</v>
      </c>
    </row>
    <row r="170" spans="1:32" ht="14.2" customHeight="1" x14ac:dyDescent="0.25">
      <c r="A170" s="156" t="s">
        <v>257</v>
      </c>
      <c r="B170" s="152">
        <v>5.1999999999999998E-2</v>
      </c>
      <c r="C170" s="398">
        <v>99</v>
      </c>
      <c r="D170" s="157">
        <f>F170*3600*10^-9/760*1.013*10^5</f>
        <v>5.198289473684211E-2</v>
      </c>
      <c r="E170" s="383">
        <v>90</v>
      </c>
      <c r="F170" s="131">
        <f>M170/(H170/1000)</f>
        <v>108.33333333333333</v>
      </c>
      <c r="G170" s="383">
        <v>90</v>
      </c>
      <c r="H170" s="190">
        <v>12</v>
      </c>
      <c r="I170" s="129">
        <f t="shared" si="128"/>
        <v>0.23076923076923078</v>
      </c>
      <c r="J170" s="364">
        <v>90</v>
      </c>
      <c r="K170" s="157">
        <f t="shared" si="141"/>
        <v>6.2379473684210512E-4</v>
      </c>
      <c r="L170" s="382">
        <v>90</v>
      </c>
      <c r="M170" s="133">
        <v>1.3</v>
      </c>
      <c r="N170" s="383">
        <v>31</v>
      </c>
      <c r="O170" s="134"/>
      <c r="P170" s="428"/>
      <c r="Q170" s="135"/>
      <c r="R170" s="428"/>
      <c r="S170" s="135"/>
      <c r="T170" s="428"/>
      <c r="U170" s="135"/>
      <c r="V170" s="430"/>
      <c r="W170" s="136">
        <f t="shared" si="124"/>
        <v>0</v>
      </c>
      <c r="X170" s="137"/>
      <c r="Y170" s="138">
        <f t="shared" si="125"/>
        <v>10.217311069923712</v>
      </c>
      <c r="Z170" s="138">
        <f t="shared" si="126"/>
        <v>0.12260773283908455</v>
      </c>
      <c r="AA170" s="154"/>
      <c r="AB170" s="140" t="str">
        <f t="shared" si="127"/>
        <v>推測値</v>
      </c>
      <c r="AC170" s="140" t="str">
        <f>VLOOKUP(N170,$B$399:$C$431,2,FALSE)</f>
        <v>「結露防止ガイドブック」IBEC</v>
      </c>
      <c r="AD170" s="140"/>
    </row>
    <row r="171" spans="1:32" ht="14.2" customHeight="1" x14ac:dyDescent="0.25">
      <c r="A171" s="128" t="s">
        <v>263</v>
      </c>
      <c r="B171" s="145">
        <v>4.9000000000000002E-2</v>
      </c>
      <c r="C171" s="364">
        <v>99</v>
      </c>
      <c r="D171" s="130">
        <f t="shared" si="140"/>
        <v>4.9423736842105263E-2</v>
      </c>
      <c r="E171" s="387">
        <v>90</v>
      </c>
      <c r="F171" s="131">
        <v>103</v>
      </c>
      <c r="G171" s="383">
        <v>22</v>
      </c>
      <c r="H171" s="190">
        <v>12</v>
      </c>
      <c r="I171" s="129">
        <f t="shared" si="128"/>
        <v>0.24489795918367346</v>
      </c>
      <c r="J171" s="364">
        <v>90</v>
      </c>
      <c r="K171" s="130">
        <f t="shared" ref="K171:K175" si="142">D171*H171/1000</f>
        <v>5.9308484210526314E-4</v>
      </c>
      <c r="L171" s="382">
        <v>90</v>
      </c>
      <c r="M171" s="133">
        <f>F171*H171/1000</f>
        <v>1.236</v>
      </c>
      <c r="N171" s="383">
        <v>90</v>
      </c>
      <c r="O171" s="191">
        <v>520</v>
      </c>
      <c r="P171" s="434">
        <v>62</v>
      </c>
      <c r="Q171" s="135"/>
      <c r="R171" s="428"/>
      <c r="S171" s="135"/>
      <c r="T171" s="428"/>
      <c r="U171" s="135">
        <f>((B171/O171)/($B$194/$O$194))*0.2</f>
        <v>2.3557692307692307E-2</v>
      </c>
      <c r="V171" s="428">
        <v>90</v>
      </c>
      <c r="W171" s="136">
        <f t="shared" si="124"/>
        <v>159.62455951387932</v>
      </c>
      <c r="X171" s="137">
        <f t="shared" si="138"/>
        <v>0.9423076923076924</v>
      </c>
      <c r="Y171" s="138">
        <f t="shared" ref="Y171:Y192" si="143">K171/(H171/1000)*((2*10^-7*(20+273)^0.81/101325)*10^12)</f>
        <v>9.7143049864813165</v>
      </c>
      <c r="Z171" s="138">
        <f t="shared" ref="Z171:Z192" si="144">Y171*(H171/1000)</f>
        <v>0.1165716598377758</v>
      </c>
      <c r="AA171" s="141"/>
      <c r="AB171" s="140" t="str">
        <f t="shared" si="127"/>
        <v>推測値</v>
      </c>
      <c r="AC171" s="140" t="str">
        <f>VLOOKUP(G171,$B$399:$C$431,2,FALSE)</f>
        <v>「H11年省エネ基準解説」IBEC</v>
      </c>
      <c r="AD171" s="140" t="str">
        <f>VLOOKUP(P171,$B$399:$C$431,2,FALSE)</f>
        <v>SolarDesigner6マニュアル</v>
      </c>
    </row>
    <row r="172" spans="1:32" ht="14.2" customHeight="1" x14ac:dyDescent="0.25">
      <c r="A172" s="151" t="s">
        <v>688</v>
      </c>
      <c r="B172" s="197">
        <v>0.11899999999999999</v>
      </c>
      <c r="C172" s="365">
        <v>71</v>
      </c>
      <c r="D172" s="130">
        <f t="shared" si="140"/>
        <v>0.1066315789473684</v>
      </c>
      <c r="E172" s="387">
        <v>90</v>
      </c>
      <c r="F172" s="131">
        <f>M172/H172*1000</f>
        <v>222.2222222222222</v>
      </c>
      <c r="G172" s="384">
        <v>90</v>
      </c>
      <c r="H172" s="190">
        <v>9</v>
      </c>
      <c r="I172" s="189">
        <f>H172/B172/1000</f>
        <v>7.5630252100840331E-2</v>
      </c>
      <c r="J172" s="368">
        <v>90</v>
      </c>
      <c r="K172" s="130">
        <f t="shared" si="142"/>
        <v>9.596842105263156E-4</v>
      </c>
      <c r="L172" s="415">
        <v>90</v>
      </c>
      <c r="M172" s="133">
        <v>2</v>
      </c>
      <c r="N172" s="424">
        <v>71</v>
      </c>
      <c r="O172" s="159"/>
      <c r="P172" s="429"/>
      <c r="Q172" s="159"/>
      <c r="R172" s="429"/>
      <c r="S172" s="159"/>
      <c r="T172" s="429"/>
      <c r="U172" s="159"/>
      <c r="V172" s="429"/>
      <c r="W172" s="136">
        <f t="shared" si="124"/>
        <v>0</v>
      </c>
      <c r="X172" s="137"/>
      <c r="Y172" s="138">
        <f t="shared" si="143"/>
        <v>20.958586810099924</v>
      </c>
      <c r="Z172" s="138">
        <f t="shared" si="144"/>
        <v>0.18862728129089928</v>
      </c>
      <c r="AA172" s="160" t="s">
        <v>665</v>
      </c>
      <c r="AB172" s="140" t="str">
        <f t="shared" si="127"/>
        <v>メーカー公表値</v>
      </c>
      <c r="AC172" s="140" t="str">
        <f>VLOOKUP(N172,$B$399:$C$431,2,FALSE)</f>
        <v>メーカー公表値</v>
      </c>
      <c r="AD172" s="140"/>
    </row>
    <row r="173" spans="1:32" ht="14.2" customHeight="1" x14ac:dyDescent="0.25">
      <c r="A173" s="447" t="s">
        <v>689</v>
      </c>
      <c r="B173" s="197">
        <v>0.13300000000000001</v>
      </c>
      <c r="C173" s="368">
        <v>71</v>
      </c>
      <c r="D173" s="130">
        <v>0.39600000000000002</v>
      </c>
      <c r="E173" s="387">
        <v>71</v>
      </c>
      <c r="F173" s="131">
        <f>M173/H173*1000</f>
        <v>822.22222222222229</v>
      </c>
      <c r="G173" s="384">
        <v>90</v>
      </c>
      <c r="H173" s="190">
        <v>9</v>
      </c>
      <c r="I173" s="189">
        <f>H173/B173/1000</f>
        <v>6.7669172932330823E-2</v>
      </c>
      <c r="J173" s="368"/>
      <c r="K173" s="130">
        <f t="shared" si="142"/>
        <v>3.5639999999999999E-3</v>
      </c>
      <c r="L173" s="415">
        <v>90</v>
      </c>
      <c r="M173" s="228">
        <v>7.4</v>
      </c>
      <c r="N173" s="424">
        <v>71</v>
      </c>
      <c r="O173" s="159"/>
      <c r="P173" s="429"/>
      <c r="Q173" s="159"/>
      <c r="R173" s="429"/>
      <c r="S173" s="159"/>
      <c r="T173" s="429"/>
      <c r="U173" s="159"/>
      <c r="V173" s="429"/>
      <c r="W173" s="136">
        <f t="shared" si="124"/>
        <v>0</v>
      </c>
      <c r="X173" s="137"/>
      <c r="Y173" s="138"/>
      <c r="Z173" s="138"/>
      <c r="AA173" s="160" t="s">
        <v>666</v>
      </c>
      <c r="AB173" s="140" t="str">
        <f t="shared" si="127"/>
        <v>メーカー公表値</v>
      </c>
      <c r="AC173" s="140"/>
      <c r="AD173" s="140"/>
    </row>
    <row r="174" spans="1:32" ht="14.2" customHeight="1" x14ac:dyDescent="0.25">
      <c r="A174" s="193" t="s">
        <v>408</v>
      </c>
      <c r="B174" s="197">
        <f>H174/I174/1000</f>
        <v>6.9767441860465129E-2</v>
      </c>
      <c r="C174" s="368">
        <v>90</v>
      </c>
      <c r="D174" s="130">
        <f t="shared" ref="D174:D175" si="145">F174*3600*10^-9/760*1.013*10^5</f>
        <v>9.1969736842105257E-2</v>
      </c>
      <c r="E174" s="387">
        <v>90</v>
      </c>
      <c r="F174" s="131">
        <f>M174/H174*1000</f>
        <v>191.66666666666666</v>
      </c>
      <c r="G174" s="384">
        <v>90</v>
      </c>
      <c r="H174" s="190">
        <v>12</v>
      </c>
      <c r="I174" s="189">
        <v>0.17199999999999999</v>
      </c>
      <c r="J174" s="368">
        <v>71</v>
      </c>
      <c r="K174" s="130">
        <f t="shared" si="142"/>
        <v>1.1036368421052632E-3</v>
      </c>
      <c r="L174" s="415">
        <v>90</v>
      </c>
      <c r="M174" s="198">
        <v>2.2999999999999998</v>
      </c>
      <c r="N174" s="415">
        <v>71</v>
      </c>
      <c r="O174" s="159"/>
      <c r="P174" s="429"/>
      <c r="Q174" s="159"/>
      <c r="R174" s="429"/>
      <c r="S174" s="159"/>
      <c r="T174" s="429"/>
      <c r="U174" s="159"/>
      <c r="V174" s="429"/>
      <c r="W174" s="136">
        <f t="shared" si="124"/>
        <v>0</v>
      </c>
      <c r="X174" s="137"/>
      <c r="Y174" s="138">
        <f t="shared" si="143"/>
        <v>18.076781123711189</v>
      </c>
      <c r="Z174" s="138">
        <f t="shared" si="144"/>
        <v>0.21692137348453427</v>
      </c>
      <c r="AA174" s="160" t="s">
        <v>687</v>
      </c>
      <c r="AB174" s="140" t="str">
        <f>VLOOKUP(J174,$B$399:$C$431,2,FALSE)</f>
        <v>メーカー公表値</v>
      </c>
      <c r="AC174" s="140" t="str">
        <f>VLOOKUP(N174,$B$399:$C$431,2,FALSE)</f>
        <v>メーカー公表値</v>
      </c>
      <c r="AD174" s="140"/>
    </row>
    <row r="175" spans="1:32" ht="14.2" customHeight="1" x14ac:dyDescent="0.25">
      <c r="A175" s="193" t="s">
        <v>370</v>
      </c>
      <c r="B175" s="148">
        <f>H175/I175/1000</f>
        <v>5.2173913043478258E-2</v>
      </c>
      <c r="C175" s="365">
        <v>90</v>
      </c>
      <c r="D175" s="130">
        <f t="shared" si="145"/>
        <v>3.9986842105263161E-2</v>
      </c>
      <c r="E175" s="387">
        <v>90</v>
      </c>
      <c r="F175" s="131">
        <f>M175/H175*1000</f>
        <v>83.333333333333329</v>
      </c>
      <c r="G175" s="384">
        <v>90</v>
      </c>
      <c r="H175" s="190">
        <v>12</v>
      </c>
      <c r="I175" s="145">
        <v>0.23</v>
      </c>
      <c r="J175" s="365">
        <v>71</v>
      </c>
      <c r="K175" s="130">
        <f t="shared" si="142"/>
        <v>4.7984210526315796E-4</v>
      </c>
      <c r="L175" s="415">
        <v>90</v>
      </c>
      <c r="M175" s="198">
        <v>1</v>
      </c>
      <c r="N175" s="415">
        <v>71</v>
      </c>
      <c r="O175" s="159"/>
      <c r="P175" s="429"/>
      <c r="Q175" s="159"/>
      <c r="R175" s="429"/>
      <c r="S175" s="159"/>
      <c r="T175" s="429"/>
      <c r="U175" s="159"/>
      <c r="V175" s="429"/>
      <c r="W175" s="136">
        <f t="shared" si="124"/>
        <v>0</v>
      </c>
      <c r="X175" s="137"/>
      <c r="Y175" s="138">
        <f t="shared" si="143"/>
        <v>7.8594700537874731</v>
      </c>
      <c r="Z175" s="138">
        <f t="shared" si="144"/>
        <v>9.4313640645449684E-2</v>
      </c>
      <c r="AA175" s="160" t="s">
        <v>687</v>
      </c>
      <c r="AB175" s="140" t="str">
        <f>VLOOKUP(J175,$B$399:$C$431,2,FALSE)</f>
        <v>メーカー公表値</v>
      </c>
      <c r="AC175" s="140" t="str">
        <f>VLOOKUP(N175,$B$399:$C$431,2,FALSE)</f>
        <v>メーカー公表値</v>
      </c>
      <c r="AD175" s="140"/>
    </row>
    <row r="176" spans="1:32" ht="14.2" customHeight="1" x14ac:dyDescent="0.25">
      <c r="A176" s="156" t="s">
        <v>145</v>
      </c>
      <c r="B176" s="152">
        <v>0.128</v>
      </c>
      <c r="C176" s="398">
        <v>50</v>
      </c>
      <c r="D176" s="130">
        <v>0.25</v>
      </c>
      <c r="E176" s="387">
        <v>22</v>
      </c>
      <c r="F176" s="131">
        <f t="shared" ref="F176:F177" si="146">D176/(3600*10^-9/760*1.013*10^5)</f>
        <v>521.00471646374911</v>
      </c>
      <c r="G176" s="384">
        <v>90</v>
      </c>
      <c r="H176" s="190">
        <v>30</v>
      </c>
      <c r="I176" s="129">
        <f t="shared" ref="I176:I182" si="147">H176/B176/1000</f>
        <v>0.234375</v>
      </c>
      <c r="J176" s="364">
        <v>90</v>
      </c>
      <c r="K176" s="130">
        <f t="shared" ref="K176:K177" si="148">D176*H176/1000</f>
        <v>7.4999999999999997E-3</v>
      </c>
      <c r="L176" s="382">
        <v>90</v>
      </c>
      <c r="M176" s="133">
        <f t="shared" ref="M176:M177" si="149">F176*H176/1000</f>
        <v>15.630141493912474</v>
      </c>
      <c r="N176" s="383">
        <v>90</v>
      </c>
      <c r="O176" s="153">
        <v>783</v>
      </c>
      <c r="P176" s="430">
        <v>30</v>
      </c>
      <c r="Q176" s="135">
        <f>O176/S176</f>
        <v>2.3727272727272726</v>
      </c>
      <c r="R176" s="428">
        <v>90</v>
      </c>
      <c r="S176" s="155">
        <v>330</v>
      </c>
      <c r="T176" s="430">
        <v>50</v>
      </c>
      <c r="U176" s="155">
        <v>0.03</v>
      </c>
      <c r="V176" s="430">
        <v>30</v>
      </c>
      <c r="W176" s="136">
        <f t="shared" si="124"/>
        <v>316.58174299855006</v>
      </c>
      <c r="X176" s="137">
        <f t="shared" si="138"/>
        <v>1.6347381864623245</v>
      </c>
      <c r="Y176" s="138">
        <f t="shared" si="143"/>
        <v>49.137851603146423</v>
      </c>
      <c r="Z176" s="138">
        <f t="shared" si="144"/>
        <v>1.4741355480943927</v>
      </c>
      <c r="AA176" s="147" t="s">
        <v>146</v>
      </c>
      <c r="AB176" s="140" t="str">
        <f t="shared" ref="AB176:AB184" si="150">VLOOKUP(C176,$B$399:$C$431,2,FALSE)</f>
        <v>「建築の結露」井上書院</v>
      </c>
      <c r="AC176" s="103" t="s">
        <v>416</v>
      </c>
      <c r="AD176" s="140" t="str">
        <f t="shared" ref="AD176:AD189" si="151">VLOOKUP(P176,$B$399:$C$431,2,FALSE)</f>
        <v>「自立循環型住宅 温暖地版」IBEC</v>
      </c>
    </row>
    <row r="177" spans="1:30" ht="14.2" customHeight="1" x14ac:dyDescent="0.25">
      <c r="A177" s="156" t="s">
        <v>27</v>
      </c>
      <c r="B177" s="152">
        <v>0.128</v>
      </c>
      <c r="C177" s="398">
        <v>50</v>
      </c>
      <c r="D177" s="130">
        <v>0.67200000000000004</v>
      </c>
      <c r="E177" s="387">
        <v>22</v>
      </c>
      <c r="F177" s="131">
        <f t="shared" si="146"/>
        <v>1400.4606778545576</v>
      </c>
      <c r="G177" s="384">
        <v>90</v>
      </c>
      <c r="H177" s="190">
        <v>30</v>
      </c>
      <c r="I177" s="129">
        <f t="shared" si="147"/>
        <v>0.234375</v>
      </c>
      <c r="J177" s="364">
        <v>90</v>
      </c>
      <c r="K177" s="130">
        <f t="shared" si="148"/>
        <v>2.0160000000000001E-2</v>
      </c>
      <c r="L177" s="382">
        <v>90</v>
      </c>
      <c r="M177" s="133">
        <f t="shared" si="149"/>
        <v>42.01382033563673</v>
      </c>
      <c r="N177" s="383">
        <v>90</v>
      </c>
      <c r="O177" s="153">
        <v>783</v>
      </c>
      <c r="P177" s="430">
        <v>30</v>
      </c>
      <c r="Q177" s="135">
        <f>O177/S177</f>
        <v>2.3727272727272726</v>
      </c>
      <c r="R177" s="428">
        <v>90</v>
      </c>
      <c r="S177" s="155">
        <v>330</v>
      </c>
      <c r="T177" s="430">
        <v>50</v>
      </c>
      <c r="U177" s="155">
        <v>0.03</v>
      </c>
      <c r="V177" s="430">
        <v>30</v>
      </c>
      <c r="W177" s="136">
        <f t="shared" si="124"/>
        <v>316.58174299855006</v>
      </c>
      <c r="X177" s="137">
        <f t="shared" si="138"/>
        <v>1.6347381864623245</v>
      </c>
      <c r="Y177" s="138">
        <f t="shared" si="143"/>
        <v>132.08254510925758</v>
      </c>
      <c r="Z177" s="138">
        <f t="shared" si="144"/>
        <v>3.9624763532777272</v>
      </c>
      <c r="AA177" s="147" t="s">
        <v>146</v>
      </c>
      <c r="AB177" s="140" t="str">
        <f t="shared" si="150"/>
        <v>「建築の結露」井上書院</v>
      </c>
      <c r="AC177" s="103" t="s">
        <v>416</v>
      </c>
      <c r="AD177" s="140" t="str">
        <f t="shared" si="151"/>
        <v>「自立循環型住宅 温暖地版」IBEC</v>
      </c>
    </row>
    <row r="178" spans="1:30" ht="14.2" customHeight="1" x14ac:dyDescent="0.25">
      <c r="A178" s="156" t="s">
        <v>499</v>
      </c>
      <c r="B178" s="152">
        <v>0.128</v>
      </c>
      <c r="C178" s="398">
        <v>50</v>
      </c>
      <c r="D178" s="130">
        <f>F178*3600*10^-9/760*1.013*10^5</f>
        <v>6.2331489473684198E-3</v>
      </c>
      <c r="E178" s="387">
        <v>90</v>
      </c>
      <c r="F178" s="131">
        <v>12.99</v>
      </c>
      <c r="G178" s="384">
        <v>51</v>
      </c>
      <c r="H178" s="190">
        <v>30</v>
      </c>
      <c r="I178" s="129"/>
      <c r="J178" s="364">
        <v>90</v>
      </c>
      <c r="K178" s="130"/>
      <c r="L178" s="416"/>
      <c r="M178" s="133"/>
      <c r="N178" s="383"/>
      <c r="O178" s="153">
        <v>783</v>
      </c>
      <c r="P178" s="430">
        <v>30</v>
      </c>
      <c r="Q178" s="135">
        <f t="shared" ref="Q178:Q184" si="152">O178/S178</f>
        <v>2.3727272727272726</v>
      </c>
      <c r="R178" s="428">
        <v>90</v>
      </c>
      <c r="S178" s="155">
        <v>330</v>
      </c>
      <c r="T178" s="430">
        <v>50</v>
      </c>
      <c r="U178" s="155"/>
      <c r="V178" s="430"/>
      <c r="W178" s="136">
        <f t="shared" si="124"/>
        <v>316.58174299855006</v>
      </c>
      <c r="X178" s="137">
        <f t="shared" si="138"/>
        <v>1.6347381864623245</v>
      </c>
      <c r="Y178" s="138">
        <f t="shared" si="143"/>
        <v>0</v>
      </c>
      <c r="Z178" s="138">
        <f t="shared" si="144"/>
        <v>0</v>
      </c>
      <c r="AA178" s="147"/>
      <c r="AB178" s="140" t="str">
        <f t="shared" si="150"/>
        <v>「建築の結露」井上書院</v>
      </c>
      <c r="AC178" s="140" t="str">
        <f>VLOOKUP(G178,$B$399:$C$431,2,FALSE)</f>
        <v>「建物の結露」学芸出版社 (2003/04)</v>
      </c>
      <c r="AD178" s="140" t="str">
        <f t="shared" si="151"/>
        <v>「自立循環型住宅 温暖地版」IBEC</v>
      </c>
    </row>
    <row r="179" spans="1:30" ht="14.2" customHeight="1" x14ac:dyDescent="0.25">
      <c r="A179" s="128" t="s">
        <v>497</v>
      </c>
      <c r="B179" s="145">
        <v>0.14000000000000001</v>
      </c>
      <c r="C179" s="364">
        <v>50</v>
      </c>
      <c r="D179" s="130">
        <f>F179*3600*10^-9/760*1.013*10^5</f>
        <v>5.9980263157894745E-2</v>
      </c>
      <c r="E179" s="387">
        <v>90</v>
      </c>
      <c r="F179" s="131">
        <v>125</v>
      </c>
      <c r="G179" s="383">
        <v>51</v>
      </c>
      <c r="H179" s="190">
        <v>30</v>
      </c>
      <c r="I179" s="129">
        <f t="shared" si="147"/>
        <v>0.21428571428571427</v>
      </c>
      <c r="J179" s="364">
        <v>90</v>
      </c>
      <c r="K179" s="130">
        <f t="shared" ref="K179:K180" si="153">D179*H179/1000</f>
        <v>1.7994078947368424E-3</v>
      </c>
      <c r="L179" s="382">
        <v>90</v>
      </c>
      <c r="M179" s="133">
        <f t="shared" ref="M179:M180" si="154">F179*H179/1000</f>
        <v>3.75</v>
      </c>
      <c r="N179" s="383">
        <v>90</v>
      </c>
      <c r="O179" s="134">
        <v>933</v>
      </c>
      <c r="P179" s="428">
        <v>30</v>
      </c>
      <c r="Q179" s="135">
        <f t="shared" si="152"/>
        <v>2.0733333333333333</v>
      </c>
      <c r="R179" s="428">
        <v>90</v>
      </c>
      <c r="S179" s="135">
        <v>450</v>
      </c>
      <c r="T179" s="430">
        <v>50</v>
      </c>
      <c r="U179" s="135">
        <v>0.03</v>
      </c>
      <c r="V179" s="428">
        <v>30</v>
      </c>
      <c r="W179" s="136">
        <f t="shared" si="124"/>
        <v>361.41389015919128</v>
      </c>
      <c r="X179" s="137">
        <f t="shared" si="138"/>
        <v>1.5005359056806005</v>
      </c>
      <c r="Y179" s="138">
        <f t="shared" si="143"/>
        <v>11.789205080681212</v>
      </c>
      <c r="Z179" s="138">
        <f t="shared" si="144"/>
        <v>0.35367615242043632</v>
      </c>
      <c r="AA179" s="141" t="s">
        <v>87</v>
      </c>
      <c r="AB179" s="140" t="str">
        <f t="shared" si="150"/>
        <v>「建築の結露」井上書院</v>
      </c>
      <c r="AC179" s="140" t="str">
        <f>VLOOKUP(G179,$B$399:$C$431,2,FALSE)</f>
        <v>「建物の結露」学芸出版社 (2003/04)</v>
      </c>
      <c r="AD179" s="140" t="str">
        <f t="shared" si="151"/>
        <v>「自立循環型住宅 温暖地版」IBEC</v>
      </c>
    </row>
    <row r="180" spans="1:30" ht="14.2" customHeight="1" x14ac:dyDescent="0.25">
      <c r="A180" s="128" t="s">
        <v>498</v>
      </c>
      <c r="B180" s="145">
        <v>0.14000000000000001</v>
      </c>
      <c r="C180" s="364">
        <v>50</v>
      </c>
      <c r="D180" s="130">
        <f>F180*3600*10^-9/760*1.013*10^5</f>
        <v>9.0536608421052628E-2</v>
      </c>
      <c r="E180" s="387">
        <v>90</v>
      </c>
      <c r="F180" s="131">
        <v>188.68</v>
      </c>
      <c r="G180" s="383">
        <v>51</v>
      </c>
      <c r="H180" s="199">
        <v>30</v>
      </c>
      <c r="I180" s="129"/>
      <c r="J180" s="364">
        <v>90</v>
      </c>
      <c r="K180" s="130">
        <f t="shared" si="153"/>
        <v>2.716098252631579E-3</v>
      </c>
      <c r="L180" s="382">
        <v>90</v>
      </c>
      <c r="M180" s="133">
        <f t="shared" si="154"/>
        <v>5.660400000000001</v>
      </c>
      <c r="N180" s="383">
        <v>90</v>
      </c>
      <c r="O180" s="134">
        <v>933</v>
      </c>
      <c r="P180" s="428">
        <v>30</v>
      </c>
      <c r="Q180" s="135">
        <f t="shared" si="152"/>
        <v>2.0733333333333333</v>
      </c>
      <c r="R180" s="428">
        <v>90</v>
      </c>
      <c r="S180" s="135">
        <v>450</v>
      </c>
      <c r="T180" s="430">
        <v>50</v>
      </c>
      <c r="U180" s="135"/>
      <c r="V180" s="428"/>
      <c r="W180" s="136">
        <f t="shared" si="124"/>
        <v>361.41389015919128</v>
      </c>
      <c r="X180" s="137">
        <f t="shared" si="138"/>
        <v>1.5005359056806005</v>
      </c>
      <c r="Y180" s="138">
        <f t="shared" si="143"/>
        <v>17.795097716983445</v>
      </c>
      <c r="Z180" s="138">
        <f t="shared" si="144"/>
        <v>0.5338529315095033</v>
      </c>
      <c r="AA180" s="141"/>
      <c r="AB180" s="140" t="str">
        <f t="shared" si="150"/>
        <v>「建築の結露」井上書院</v>
      </c>
      <c r="AC180" s="140" t="str">
        <f>VLOOKUP(G180,$B$399:$C$431,2,FALSE)</f>
        <v>「建物の結露」学芸出版社 (2003/04)</v>
      </c>
      <c r="AD180" s="140" t="str">
        <f t="shared" si="151"/>
        <v>「自立循環型住宅 温暖地版」IBEC</v>
      </c>
    </row>
    <row r="181" spans="1:30" ht="14.2" customHeight="1" x14ac:dyDescent="0.25">
      <c r="A181" s="128" t="s">
        <v>77</v>
      </c>
      <c r="B181" s="145">
        <v>0.151</v>
      </c>
      <c r="C181" s="364">
        <v>50</v>
      </c>
      <c r="D181" s="157">
        <v>0.36499999999999999</v>
      </c>
      <c r="E181" s="383">
        <v>22</v>
      </c>
      <c r="F181" s="131">
        <f t="shared" ref="F181" si="155">D181/(3600*10^-9/760*1.013*10^5)</f>
        <v>760.6668860370736</v>
      </c>
      <c r="G181" s="384">
        <v>90</v>
      </c>
      <c r="H181" s="446">
        <v>30</v>
      </c>
      <c r="I181" s="129">
        <f t="shared" si="147"/>
        <v>0.19867549668874174</v>
      </c>
      <c r="J181" s="364">
        <v>90</v>
      </c>
      <c r="K181" s="130">
        <f t="shared" ref="K181" si="156">D181*H181/1000</f>
        <v>1.095E-2</v>
      </c>
      <c r="L181" s="382">
        <v>90</v>
      </c>
      <c r="M181" s="133">
        <f t="shared" ref="M181" si="157">F181*H181/1000</f>
        <v>22.820006581112207</v>
      </c>
      <c r="N181" s="383">
        <v>90</v>
      </c>
      <c r="O181" s="134">
        <v>1624</v>
      </c>
      <c r="P181" s="428">
        <v>30</v>
      </c>
      <c r="Q181" s="135">
        <f t="shared" si="152"/>
        <v>3.3833333333333333</v>
      </c>
      <c r="R181" s="428">
        <v>90</v>
      </c>
      <c r="S181" s="135">
        <v>480</v>
      </c>
      <c r="T181" s="430">
        <v>50</v>
      </c>
      <c r="U181" s="135">
        <v>0.03</v>
      </c>
      <c r="V181" s="428">
        <v>30</v>
      </c>
      <c r="W181" s="136">
        <f t="shared" si="124"/>
        <v>495.20096930438251</v>
      </c>
      <c r="X181" s="137">
        <f t="shared" si="138"/>
        <v>0.92980295566502458</v>
      </c>
      <c r="Y181" s="138">
        <f t="shared" si="143"/>
        <v>71.741263340593775</v>
      </c>
      <c r="Z181" s="138">
        <f t="shared" si="144"/>
        <v>2.1522379002178131</v>
      </c>
      <c r="AA181" s="141" t="s">
        <v>146</v>
      </c>
      <c r="AB181" s="140" t="str">
        <f t="shared" si="150"/>
        <v>「建築の結露」井上書院</v>
      </c>
      <c r="AC181" s="103" t="s">
        <v>416</v>
      </c>
      <c r="AD181" s="140" t="str">
        <f t="shared" si="151"/>
        <v>「自立循環型住宅 温暖地版」IBEC</v>
      </c>
    </row>
    <row r="182" spans="1:30" ht="14.2" customHeight="1" x14ac:dyDescent="0.25">
      <c r="A182" s="128" t="s">
        <v>80</v>
      </c>
      <c r="B182" s="145">
        <v>0.17399999999999999</v>
      </c>
      <c r="C182" s="364">
        <v>50</v>
      </c>
      <c r="D182" s="157">
        <f>F182*3600*10^-9/760*1.013*10^5</f>
        <v>0.3691089426315789</v>
      </c>
      <c r="E182" s="383">
        <v>90</v>
      </c>
      <c r="F182" s="131">
        <v>769.23</v>
      </c>
      <c r="G182" s="383">
        <v>51</v>
      </c>
      <c r="H182" s="446">
        <v>30</v>
      </c>
      <c r="I182" s="129">
        <f t="shared" si="147"/>
        <v>0.17241379310344829</v>
      </c>
      <c r="J182" s="364">
        <v>90</v>
      </c>
      <c r="K182" s="130">
        <f t="shared" ref="K182:K187" si="158">D182*H182/1000</f>
        <v>1.1073268278947368E-2</v>
      </c>
      <c r="L182" s="382">
        <v>90</v>
      </c>
      <c r="M182" s="133">
        <f t="shared" ref="M182:M187" si="159">F182*H182/1000</f>
        <v>23.076900000000002</v>
      </c>
      <c r="N182" s="383">
        <v>90</v>
      </c>
      <c r="O182" s="134">
        <v>1034</v>
      </c>
      <c r="P182" s="428">
        <v>30</v>
      </c>
      <c r="Q182" s="135">
        <f t="shared" si="152"/>
        <v>2.2000000000000002</v>
      </c>
      <c r="R182" s="428">
        <v>90</v>
      </c>
      <c r="S182" s="135">
        <v>470</v>
      </c>
      <c r="T182" s="428">
        <v>50</v>
      </c>
      <c r="U182" s="135">
        <v>0.04</v>
      </c>
      <c r="V182" s="428">
        <v>30</v>
      </c>
      <c r="W182" s="136">
        <f t="shared" si="124"/>
        <v>424.16506221045597</v>
      </c>
      <c r="X182" s="137">
        <f t="shared" si="138"/>
        <v>1.6827852998065762</v>
      </c>
      <c r="Y182" s="138">
        <f t="shared" si="143"/>
        <v>72.548881793699252</v>
      </c>
      <c r="Z182" s="138">
        <f t="shared" si="144"/>
        <v>2.1764664538109773</v>
      </c>
      <c r="AA182" s="141"/>
      <c r="AB182" s="140" t="str">
        <f t="shared" si="150"/>
        <v>「建築の結露」井上書院</v>
      </c>
      <c r="AC182" s="140" t="str">
        <f>VLOOKUP(G182,$B$399:$C$431,2,FALSE)</f>
        <v>「建物の結露」学芸出版社 (2003/04)</v>
      </c>
      <c r="AD182" s="140" t="str">
        <f t="shared" si="151"/>
        <v>「自立循環型住宅 温暖地版」IBEC</v>
      </c>
    </row>
    <row r="183" spans="1:30" ht="14.2" customHeight="1" x14ac:dyDescent="0.25">
      <c r="A183" s="128" t="s">
        <v>78</v>
      </c>
      <c r="B183" s="145">
        <v>0.19800000000000001</v>
      </c>
      <c r="C183" s="364">
        <v>50</v>
      </c>
      <c r="D183" s="157">
        <f t="shared" ref="D183:D184" si="160">F183*3600*10^-9/760*1.013*10^5</f>
        <v>0.20862575052631577</v>
      </c>
      <c r="E183" s="383">
        <v>90</v>
      </c>
      <c r="F183" s="131">
        <v>434.78</v>
      </c>
      <c r="G183" s="383">
        <v>51</v>
      </c>
      <c r="H183" s="446">
        <v>30</v>
      </c>
      <c r="I183" s="129">
        <f t="shared" ref="I183" si="161">H183/B183/1000</f>
        <v>0.15151515151515149</v>
      </c>
      <c r="J183" s="364">
        <v>90</v>
      </c>
      <c r="K183" s="130">
        <f t="shared" si="158"/>
        <v>6.2587725157894729E-3</v>
      </c>
      <c r="L183" s="382">
        <v>90</v>
      </c>
      <c r="M183" s="133">
        <f t="shared" si="159"/>
        <v>13.0434</v>
      </c>
      <c r="N183" s="383">
        <v>90</v>
      </c>
      <c r="O183" s="134">
        <v>780</v>
      </c>
      <c r="P183" s="428">
        <v>62</v>
      </c>
      <c r="Q183" s="135">
        <f t="shared" si="152"/>
        <v>1.4003590664272891</v>
      </c>
      <c r="R183" s="428">
        <v>90</v>
      </c>
      <c r="S183" s="135">
        <v>557</v>
      </c>
      <c r="T183" s="428">
        <v>50</v>
      </c>
      <c r="U183" s="135">
        <f t="shared" ref="U183:U189" si="162">((B183/O183)/($B$194/$O$194))*0.2</f>
        <v>6.3461538461538472E-2</v>
      </c>
      <c r="V183" s="428">
        <v>90</v>
      </c>
      <c r="W183" s="136">
        <f t="shared" si="124"/>
        <v>392.98854945150754</v>
      </c>
      <c r="X183" s="137">
        <f t="shared" si="138"/>
        <v>2.5384615384615388</v>
      </c>
      <c r="Y183" s="138">
        <f t="shared" si="143"/>
        <v>41.005684679828605</v>
      </c>
      <c r="Z183" s="138">
        <f t="shared" si="144"/>
        <v>1.2301705403948582</v>
      </c>
      <c r="AA183" s="141"/>
      <c r="AB183" s="140" t="str">
        <f t="shared" si="150"/>
        <v>「建築の結露」井上書院</v>
      </c>
      <c r="AC183" s="140" t="str">
        <f>VLOOKUP(G183,$B$399:$C$431,2,FALSE)</f>
        <v>「建物の結露」学芸出版社 (2003/04)</v>
      </c>
      <c r="AD183" s="140" t="str">
        <f t="shared" si="151"/>
        <v>SolarDesigner6マニュアル</v>
      </c>
    </row>
    <row r="184" spans="1:30" ht="14.2" customHeight="1" x14ac:dyDescent="0.25">
      <c r="A184" s="128" t="s">
        <v>79</v>
      </c>
      <c r="B184" s="145">
        <v>0.16300000000000001</v>
      </c>
      <c r="C184" s="364">
        <v>51</v>
      </c>
      <c r="D184" s="157">
        <f t="shared" si="160"/>
        <v>9.5968421052631578E-2</v>
      </c>
      <c r="E184" s="383">
        <v>90</v>
      </c>
      <c r="F184" s="131">
        <v>200</v>
      </c>
      <c r="G184" s="383">
        <v>51</v>
      </c>
      <c r="H184" s="446">
        <v>30</v>
      </c>
      <c r="I184" s="129">
        <f>H184/B184/1000</f>
        <v>0.18404907975460122</v>
      </c>
      <c r="J184" s="364">
        <v>90</v>
      </c>
      <c r="K184" s="130">
        <f t="shared" si="158"/>
        <v>2.8790526315789476E-3</v>
      </c>
      <c r="L184" s="382">
        <v>90</v>
      </c>
      <c r="M184" s="133">
        <f t="shared" si="159"/>
        <v>6</v>
      </c>
      <c r="N184" s="383">
        <v>90</v>
      </c>
      <c r="O184" s="134">
        <v>780</v>
      </c>
      <c r="P184" s="428">
        <v>62</v>
      </c>
      <c r="Q184" s="135">
        <f t="shared" si="152"/>
        <v>1.3</v>
      </c>
      <c r="R184" s="428">
        <v>90</v>
      </c>
      <c r="S184" s="135">
        <v>600</v>
      </c>
      <c r="T184" s="428">
        <v>51</v>
      </c>
      <c r="U184" s="135">
        <f t="shared" si="162"/>
        <v>5.2243589743589752E-2</v>
      </c>
      <c r="V184" s="428">
        <v>90</v>
      </c>
      <c r="W184" s="136">
        <f t="shared" si="124"/>
        <v>356.56696425776744</v>
      </c>
      <c r="X184" s="137">
        <f t="shared" si="138"/>
        <v>2.0897435897435899</v>
      </c>
      <c r="Y184" s="138">
        <f t="shared" si="143"/>
        <v>18.862728129089938</v>
      </c>
      <c r="Z184" s="138">
        <f t="shared" si="144"/>
        <v>0.56588184387269813</v>
      </c>
      <c r="AA184" s="141"/>
      <c r="AB184" s="140" t="str">
        <f t="shared" si="150"/>
        <v>「建物の結露」学芸出版社 (2003/04)</v>
      </c>
      <c r="AD184" s="140" t="str">
        <f t="shared" si="151"/>
        <v>SolarDesigner6マニュアル</v>
      </c>
    </row>
    <row r="185" spans="1:30" ht="14.2" customHeight="1" x14ac:dyDescent="0.25">
      <c r="A185" s="128" t="s">
        <v>147</v>
      </c>
      <c r="B185" s="145">
        <v>0.12</v>
      </c>
      <c r="C185" s="364">
        <v>22</v>
      </c>
      <c r="D185" s="157">
        <v>0.25</v>
      </c>
      <c r="E185" s="383">
        <v>22</v>
      </c>
      <c r="F185" s="131">
        <f t="shared" ref="F185" si="163">D185/(3600*10^-9/760*1.013*10^5)</f>
        <v>521.00471646374911</v>
      </c>
      <c r="G185" s="384">
        <v>90</v>
      </c>
      <c r="H185" s="446">
        <v>30</v>
      </c>
      <c r="I185" s="129">
        <f t="shared" ref="I185:I187" si="164">H185/B185/1000</f>
        <v>0.25</v>
      </c>
      <c r="J185" s="364">
        <v>90</v>
      </c>
      <c r="K185" s="130">
        <f t="shared" si="158"/>
        <v>7.4999999999999997E-3</v>
      </c>
      <c r="L185" s="382">
        <v>90</v>
      </c>
      <c r="M185" s="133">
        <f t="shared" si="159"/>
        <v>15.630141493912474</v>
      </c>
      <c r="N185" s="383">
        <v>90</v>
      </c>
      <c r="O185" s="134">
        <v>520</v>
      </c>
      <c r="P185" s="428">
        <v>30</v>
      </c>
      <c r="Q185" s="135">
        <f>O185/S185</f>
        <v>1.5757575757575757</v>
      </c>
      <c r="R185" s="428">
        <v>90</v>
      </c>
      <c r="S185" s="155">
        <v>330</v>
      </c>
      <c r="T185" s="430">
        <v>50</v>
      </c>
      <c r="U185" s="135">
        <f t="shared" si="162"/>
        <v>5.7692307692307689E-2</v>
      </c>
      <c r="V185" s="428">
        <v>30</v>
      </c>
      <c r="W185" s="136">
        <f t="shared" si="124"/>
        <v>249.79991993593592</v>
      </c>
      <c r="X185" s="137">
        <f t="shared" si="138"/>
        <v>2.3076923076923075</v>
      </c>
      <c r="Y185" s="138">
        <f t="shared" si="143"/>
        <v>49.137851603146423</v>
      </c>
      <c r="Z185" s="138">
        <f t="shared" si="144"/>
        <v>1.4741355480943927</v>
      </c>
      <c r="AA185" s="141"/>
      <c r="AB185" s="103" t="s">
        <v>416</v>
      </c>
      <c r="AC185" s="140" t="str">
        <f>VLOOKUP(E185,$B$399:$C$431,2,FALSE)</f>
        <v>「H11年省エネ基準解説」IBEC</v>
      </c>
      <c r="AD185" s="140" t="str">
        <f t="shared" si="151"/>
        <v>「自立循環型住宅 温暖地版」IBEC</v>
      </c>
    </row>
    <row r="186" spans="1:30" ht="14.2" customHeight="1" x14ac:dyDescent="0.25">
      <c r="A186" s="128" t="s">
        <v>220</v>
      </c>
      <c r="B186" s="145">
        <v>0.15</v>
      </c>
      <c r="C186" s="364">
        <v>22</v>
      </c>
      <c r="D186" s="157">
        <f>F186*3600*10^-9/760*1.013*10^5</f>
        <v>0.3691089426315789</v>
      </c>
      <c r="E186" s="383">
        <v>90</v>
      </c>
      <c r="F186" s="131">
        <v>769.23</v>
      </c>
      <c r="G186" s="383">
        <v>51</v>
      </c>
      <c r="H186" s="446">
        <v>30</v>
      </c>
      <c r="I186" s="129">
        <f t="shared" si="164"/>
        <v>0.2</v>
      </c>
      <c r="J186" s="364">
        <v>90</v>
      </c>
      <c r="K186" s="130">
        <f t="shared" si="158"/>
        <v>1.1073268278947368E-2</v>
      </c>
      <c r="L186" s="382">
        <v>90</v>
      </c>
      <c r="M186" s="133">
        <f t="shared" si="159"/>
        <v>23.076900000000002</v>
      </c>
      <c r="N186" s="383">
        <v>90</v>
      </c>
      <c r="O186" s="134">
        <v>650</v>
      </c>
      <c r="P186" s="428">
        <v>62</v>
      </c>
      <c r="Q186" s="135">
        <f t="shared" ref="Q186:Q189" si="165">O186/S186</f>
        <v>1.3829787234042554</v>
      </c>
      <c r="R186" s="428">
        <v>90</v>
      </c>
      <c r="S186" s="135">
        <v>470</v>
      </c>
      <c r="T186" s="428">
        <v>50</v>
      </c>
      <c r="U186" s="135">
        <f t="shared" si="162"/>
        <v>5.7692307692307689E-2</v>
      </c>
      <c r="V186" s="428">
        <v>90</v>
      </c>
      <c r="W186" s="136">
        <f t="shared" si="124"/>
        <v>312.24989991991993</v>
      </c>
      <c r="X186" s="137">
        <f t="shared" si="138"/>
        <v>2.3076923076923075</v>
      </c>
      <c r="Y186" s="138">
        <f t="shared" si="143"/>
        <v>72.548881793699252</v>
      </c>
      <c r="Z186" s="138">
        <f t="shared" si="144"/>
        <v>2.1764664538109773</v>
      </c>
      <c r="AA186" s="141"/>
      <c r="AB186" s="103" t="s">
        <v>416</v>
      </c>
      <c r="AC186" s="140" t="str">
        <f>VLOOKUP(G186,$B$399:$C$431,2,FALSE)</f>
        <v>「建物の結露」学芸出版社 (2003/04)</v>
      </c>
      <c r="AD186" s="140" t="str">
        <f t="shared" si="151"/>
        <v>SolarDesigner6マニュアル</v>
      </c>
    </row>
    <row r="187" spans="1:30" ht="14.2" customHeight="1" x14ac:dyDescent="0.25">
      <c r="A187" s="128" t="s">
        <v>221</v>
      </c>
      <c r="B187" s="145">
        <v>0.19</v>
      </c>
      <c r="C187" s="364">
        <v>22</v>
      </c>
      <c r="D187" s="157">
        <f t="shared" ref="D187:D188" si="166">F187*3600*10^-9/760*1.013*10^5</f>
        <v>9.5968421052631578E-2</v>
      </c>
      <c r="E187" s="383">
        <v>90</v>
      </c>
      <c r="F187" s="131">
        <v>200</v>
      </c>
      <c r="G187" s="383">
        <v>51</v>
      </c>
      <c r="H187" s="446">
        <v>30</v>
      </c>
      <c r="I187" s="129">
        <f t="shared" si="164"/>
        <v>0.15789473684210525</v>
      </c>
      <c r="J187" s="364">
        <v>90</v>
      </c>
      <c r="K187" s="130">
        <f t="shared" si="158"/>
        <v>2.8790526315789476E-3</v>
      </c>
      <c r="L187" s="382">
        <v>90</v>
      </c>
      <c r="M187" s="133">
        <f t="shared" si="159"/>
        <v>6</v>
      </c>
      <c r="N187" s="383">
        <v>90</v>
      </c>
      <c r="O187" s="134">
        <v>780</v>
      </c>
      <c r="P187" s="428">
        <v>62</v>
      </c>
      <c r="Q187" s="135">
        <f t="shared" si="165"/>
        <v>1.3</v>
      </c>
      <c r="R187" s="428">
        <v>90</v>
      </c>
      <c r="S187" s="135">
        <v>600</v>
      </c>
      <c r="T187" s="428">
        <v>51</v>
      </c>
      <c r="U187" s="135">
        <f t="shared" si="162"/>
        <v>6.0897435897435896E-2</v>
      </c>
      <c r="V187" s="434">
        <v>90</v>
      </c>
      <c r="W187" s="136">
        <f t="shared" si="124"/>
        <v>384.96753109840313</v>
      </c>
      <c r="X187" s="137">
        <f t="shared" si="138"/>
        <v>2.4358974358974361</v>
      </c>
      <c r="Y187" s="138">
        <f t="shared" si="143"/>
        <v>18.862728129089938</v>
      </c>
      <c r="Z187" s="138">
        <f t="shared" si="144"/>
        <v>0.56588184387269813</v>
      </c>
      <c r="AA187" s="192"/>
      <c r="AB187" s="103" t="s">
        <v>416</v>
      </c>
      <c r="AC187" s="140" t="str">
        <f>VLOOKUP(G187,$B$399:$C$431,2,FALSE)</f>
        <v>「建物の結露」学芸出版社 (2003/04)</v>
      </c>
      <c r="AD187" s="140" t="str">
        <f t="shared" si="151"/>
        <v>SolarDesigner6マニュアル</v>
      </c>
    </row>
    <row r="188" spans="1:30" ht="14.2" customHeight="1" x14ac:dyDescent="0.25">
      <c r="A188" s="128" t="s">
        <v>75</v>
      </c>
      <c r="B188" s="145">
        <v>7.0000000000000007E-2</v>
      </c>
      <c r="C188" s="364">
        <v>40</v>
      </c>
      <c r="D188" s="157">
        <f t="shared" si="166"/>
        <v>9.7935773684210518E-3</v>
      </c>
      <c r="E188" s="383">
        <v>90</v>
      </c>
      <c r="F188" s="131">
        <v>20.41</v>
      </c>
      <c r="G188" s="383">
        <v>51</v>
      </c>
      <c r="H188" s="446">
        <v>30</v>
      </c>
      <c r="I188" s="200">
        <f>H188/B188/1000</f>
        <v>0.42857142857142855</v>
      </c>
      <c r="J188" s="364">
        <v>90</v>
      </c>
      <c r="K188" s="130">
        <f t="shared" ref="K188" si="167">D188*H188/1000</f>
        <v>2.9380732105263157E-4</v>
      </c>
      <c r="L188" s="382">
        <v>90</v>
      </c>
      <c r="M188" s="133">
        <f t="shared" ref="M188" si="168">F188*H188/1000</f>
        <v>0.61229999999999996</v>
      </c>
      <c r="N188" s="383">
        <v>90</v>
      </c>
      <c r="O188" s="153">
        <v>260</v>
      </c>
      <c r="P188" s="430">
        <v>62</v>
      </c>
      <c r="Q188" s="155">
        <f t="shared" si="165"/>
        <v>1.3</v>
      </c>
      <c r="R188" s="430">
        <v>90</v>
      </c>
      <c r="S188" s="155">
        <v>200</v>
      </c>
      <c r="T188" s="430">
        <v>40</v>
      </c>
      <c r="U188" s="135">
        <f t="shared" si="162"/>
        <v>6.7307692307692318E-2</v>
      </c>
      <c r="V188" s="430">
        <v>90</v>
      </c>
      <c r="W188" s="136">
        <f t="shared" si="124"/>
        <v>134.90737563232042</v>
      </c>
      <c r="X188" s="137">
        <f t="shared" si="138"/>
        <v>2.692307692307693</v>
      </c>
      <c r="Y188" s="138">
        <f t="shared" si="143"/>
        <v>1.924941405573628</v>
      </c>
      <c r="Z188" s="138">
        <f t="shared" si="144"/>
        <v>5.7748242167208835E-2</v>
      </c>
      <c r="AA188" s="147"/>
      <c r="AB188" s="140" t="str">
        <f>VLOOKUP(C188,$B$399:$C$431,2,FALSE)</f>
        <v>建築設計資料集成[環境]S53出版</v>
      </c>
      <c r="AC188" s="140" t="str">
        <f>VLOOKUP(G188,$B$399:$C$431,2,FALSE)</f>
        <v>「建物の結露」学芸出版社 (2003/04)</v>
      </c>
      <c r="AD188" s="140" t="str">
        <f t="shared" si="151"/>
        <v>SolarDesigner6マニュアル</v>
      </c>
    </row>
    <row r="189" spans="1:30" ht="14.2" customHeight="1" x14ac:dyDescent="0.25">
      <c r="A189" s="128" t="s">
        <v>76</v>
      </c>
      <c r="B189" s="145">
        <v>6.5000000000000002E-2</v>
      </c>
      <c r="C189" s="364">
        <v>40</v>
      </c>
      <c r="D189" s="157"/>
      <c r="E189" s="383"/>
      <c r="F189" s="131"/>
      <c r="G189" s="383"/>
      <c r="H189" s="446">
        <v>30</v>
      </c>
      <c r="I189" s="200">
        <f>H189/B189/1000</f>
        <v>0.46153846153846156</v>
      </c>
      <c r="J189" s="364">
        <v>90</v>
      </c>
      <c r="K189" s="130"/>
      <c r="L189" s="382"/>
      <c r="M189" s="133"/>
      <c r="N189" s="383"/>
      <c r="O189" s="153">
        <v>312</v>
      </c>
      <c r="P189" s="430">
        <v>62</v>
      </c>
      <c r="Q189" s="155">
        <f t="shared" si="165"/>
        <v>2.4</v>
      </c>
      <c r="R189" s="430">
        <v>90</v>
      </c>
      <c r="S189" s="155">
        <v>130</v>
      </c>
      <c r="T189" s="430">
        <v>40</v>
      </c>
      <c r="U189" s="135">
        <f t="shared" si="162"/>
        <v>5.2083333333333343E-2</v>
      </c>
      <c r="V189" s="430">
        <v>90</v>
      </c>
      <c r="W189" s="136">
        <f t="shared" si="124"/>
        <v>142.40786495134319</v>
      </c>
      <c r="X189" s="137">
        <f t="shared" si="138"/>
        <v>2.0833333333333335</v>
      </c>
      <c r="Y189" s="138"/>
      <c r="Z189" s="138"/>
      <c r="AA189" s="147"/>
      <c r="AB189" s="140" t="str">
        <f>VLOOKUP(C189,$B$399:$C$431,2,FALSE)</f>
        <v>建築設計資料集成[環境]S53出版</v>
      </c>
      <c r="AC189" s="140"/>
      <c r="AD189" s="140" t="str">
        <f t="shared" si="151"/>
        <v>SolarDesigner6マニュアル</v>
      </c>
    </row>
    <row r="190" spans="1:30" ht="14.2" customHeight="1" x14ac:dyDescent="0.25">
      <c r="A190" s="188" t="s">
        <v>493</v>
      </c>
      <c r="B190" s="189">
        <v>7.2999999999999995E-2</v>
      </c>
      <c r="C190" s="372">
        <v>51</v>
      </c>
      <c r="D190" s="157"/>
      <c r="E190" s="383"/>
      <c r="F190" s="131"/>
      <c r="G190" s="383"/>
      <c r="H190" s="132">
        <v>100</v>
      </c>
      <c r="I190" s="129">
        <f>H190/B190/1000</f>
        <v>1.3698630136986303</v>
      </c>
      <c r="J190" s="364">
        <v>90</v>
      </c>
      <c r="K190" s="157"/>
      <c r="L190" s="382"/>
      <c r="M190" s="133"/>
      <c r="N190" s="383"/>
      <c r="O190" s="135"/>
      <c r="P190" s="428"/>
      <c r="Q190" s="135"/>
      <c r="R190" s="428"/>
      <c r="S190" s="135">
        <v>126</v>
      </c>
      <c r="T190" s="428">
        <v>51</v>
      </c>
      <c r="U190" s="135"/>
      <c r="V190" s="434"/>
      <c r="W190" s="136">
        <f t="shared" si="124"/>
        <v>0</v>
      </c>
      <c r="X190" s="137"/>
      <c r="Y190" s="138"/>
      <c r="Z190" s="138"/>
      <c r="AA190" s="192"/>
      <c r="AB190" s="140" t="str">
        <f>VLOOKUP(C190,$B$399:$C$431,2,FALSE)</f>
        <v>「建物の結露」学芸出版社 (2003/04)</v>
      </c>
      <c r="AC190" s="140"/>
    </row>
    <row r="191" spans="1:30" ht="14.2" customHeight="1" x14ac:dyDescent="0.25">
      <c r="A191" s="188" t="s">
        <v>494</v>
      </c>
      <c r="B191" s="189">
        <v>0.151</v>
      </c>
      <c r="C191" s="372">
        <v>51</v>
      </c>
      <c r="D191" s="157"/>
      <c r="E191" s="383"/>
      <c r="F191" s="131"/>
      <c r="G191" s="383"/>
      <c r="H191" s="132">
        <v>100</v>
      </c>
      <c r="I191" s="129">
        <f>H191/B191/1000</f>
        <v>0.66225165562913912</v>
      </c>
      <c r="J191" s="364">
        <v>90</v>
      </c>
      <c r="K191" s="157"/>
      <c r="L191" s="382"/>
      <c r="M191" s="133"/>
      <c r="N191" s="383"/>
      <c r="O191" s="135"/>
      <c r="P191" s="428"/>
      <c r="Q191" s="135"/>
      <c r="R191" s="428"/>
      <c r="S191" s="135">
        <v>116</v>
      </c>
      <c r="T191" s="428">
        <v>51</v>
      </c>
      <c r="U191" s="135"/>
      <c r="V191" s="434"/>
      <c r="W191" s="136">
        <f t="shared" ref="W191:W192" si="169">SQRT(B191*O191*1000)</f>
        <v>0</v>
      </c>
      <c r="X191" s="137"/>
      <c r="Y191" s="138"/>
      <c r="Z191" s="138"/>
      <c r="AA191" s="192"/>
      <c r="AB191" s="140" t="str">
        <f>VLOOKUP(C191,$B$399:$C$431,2,FALSE)</f>
        <v>「建物の結露」学芸出版社 (2003/04)</v>
      </c>
      <c r="AC191" s="140"/>
    </row>
    <row r="192" spans="1:30" ht="14.2" customHeight="1" thickBot="1" x14ac:dyDescent="0.3">
      <c r="A192" s="188" t="s">
        <v>495</v>
      </c>
      <c r="B192" s="189">
        <v>0.224</v>
      </c>
      <c r="C192" s="372">
        <v>51</v>
      </c>
      <c r="D192" s="157">
        <f t="shared" ref="D192" si="170">F192*3600*10^-9/760*1.013*10^5</f>
        <v>1.4112156315789472E-2</v>
      </c>
      <c r="E192" s="383">
        <v>90</v>
      </c>
      <c r="F192" s="131">
        <v>29.41</v>
      </c>
      <c r="G192" s="383">
        <v>51</v>
      </c>
      <c r="H192" s="132">
        <v>100</v>
      </c>
      <c r="I192" s="129">
        <f>H192/B192/1000</f>
        <v>0.44642857142857145</v>
      </c>
      <c r="J192" s="364">
        <v>90</v>
      </c>
      <c r="K192" s="130">
        <f t="shared" ref="K192" si="171">D192*H192/1000</f>
        <v>1.4112156315789473E-3</v>
      </c>
      <c r="L192" s="382">
        <v>90</v>
      </c>
      <c r="M192" s="133">
        <f t="shared" ref="M192" si="172">F192*H192/1000</f>
        <v>2.9409999999999998</v>
      </c>
      <c r="N192" s="383">
        <v>90</v>
      </c>
      <c r="O192" s="135"/>
      <c r="P192" s="428"/>
      <c r="Q192" s="135"/>
      <c r="R192" s="428"/>
      <c r="S192" s="135">
        <v>500</v>
      </c>
      <c r="T192" s="428">
        <v>51</v>
      </c>
      <c r="U192" s="135"/>
      <c r="V192" s="434"/>
      <c r="W192" s="136">
        <f t="shared" si="169"/>
        <v>0</v>
      </c>
      <c r="X192" s="137"/>
      <c r="Y192" s="138">
        <f t="shared" si="143"/>
        <v>2.7737641713826746</v>
      </c>
      <c r="Z192" s="138">
        <f t="shared" si="144"/>
        <v>0.27737641713826749</v>
      </c>
      <c r="AA192" s="192" t="s">
        <v>496</v>
      </c>
      <c r="AB192" s="140" t="str">
        <f>VLOOKUP(C192,$B$399:$C$431,2,FALSE)</f>
        <v>「建物の結露」学芸出版社 (2003/04)</v>
      </c>
      <c r="AC192" s="140" t="str">
        <f>VLOOKUP(G192,$B$399:$C$431,2,FALSE)</f>
        <v>「建物の結露」学芸出版社 (2003/04)</v>
      </c>
    </row>
    <row r="193" spans="1:32" ht="21" customHeight="1" thickTop="1" x14ac:dyDescent="0.25">
      <c r="A193" s="122" t="s">
        <v>350</v>
      </c>
      <c r="B193" s="123"/>
      <c r="C193" s="363"/>
      <c r="D193" s="124"/>
      <c r="E193" s="363"/>
      <c r="F193" s="123"/>
      <c r="G193" s="363"/>
      <c r="H193" s="123"/>
      <c r="I193" s="123"/>
      <c r="J193" s="363"/>
      <c r="K193" s="124"/>
      <c r="L193" s="363"/>
      <c r="M193" s="123"/>
      <c r="N193" s="363"/>
      <c r="O193" s="123"/>
      <c r="P193" s="363"/>
      <c r="Q193" s="123"/>
      <c r="R193" s="363"/>
      <c r="S193" s="123"/>
      <c r="T193" s="363"/>
      <c r="U193" s="123"/>
      <c r="V193" s="363"/>
      <c r="W193" s="125"/>
      <c r="X193" s="125"/>
      <c r="Y193" s="126"/>
      <c r="Z193" s="126"/>
      <c r="AA193" s="127"/>
    </row>
    <row r="194" spans="1:32" ht="14.2" customHeight="1" x14ac:dyDescent="0.25">
      <c r="A194" s="156" t="s">
        <v>347</v>
      </c>
      <c r="B194" s="152">
        <v>1.6</v>
      </c>
      <c r="C194" s="364">
        <v>10</v>
      </c>
      <c r="D194" s="130">
        <v>0.33600000000000002</v>
      </c>
      <c r="E194" s="382">
        <v>11</v>
      </c>
      <c r="F194" s="146">
        <v>699</v>
      </c>
      <c r="G194" s="382">
        <v>11</v>
      </c>
      <c r="H194" s="199">
        <v>100</v>
      </c>
      <c r="I194" s="129">
        <f t="shared" ref="I194:I203" si="173">H194/B194/1000</f>
        <v>6.25E-2</v>
      </c>
      <c r="J194" s="364">
        <v>90</v>
      </c>
      <c r="K194" s="130">
        <f t="shared" ref="K194:K199" si="174">D194*H194/1000</f>
        <v>3.3600000000000005E-2</v>
      </c>
      <c r="L194" s="382">
        <v>90</v>
      </c>
      <c r="M194" s="133">
        <f t="shared" ref="M194:M199" si="175">F194*H194/1000</f>
        <v>69.900000000000006</v>
      </c>
      <c r="N194" s="383">
        <v>90</v>
      </c>
      <c r="O194" s="153">
        <v>2000</v>
      </c>
      <c r="P194" s="428">
        <v>11</v>
      </c>
      <c r="Q194" s="135">
        <f>O194/S194</f>
        <v>0.88105726872246692</v>
      </c>
      <c r="R194" s="428">
        <v>90</v>
      </c>
      <c r="S194" s="155">
        <v>2270</v>
      </c>
      <c r="T194" s="430">
        <v>50</v>
      </c>
      <c r="U194" s="155">
        <v>0.2</v>
      </c>
      <c r="V194" s="428">
        <v>11</v>
      </c>
      <c r="W194" s="136">
        <f t="shared" ref="W194:W208" si="176">SQRT(B194*O194*1000)</f>
        <v>1788.8543819998317</v>
      </c>
      <c r="X194" s="137">
        <f t="shared" si="138"/>
        <v>8</v>
      </c>
      <c r="Y194" s="138">
        <f t="shared" ref="Y194:Y208" si="177">K194/(H194/1000)*((2*10^-7*(20+273)^0.81/101325)*10^12)</f>
        <v>66.04127255462879</v>
      </c>
      <c r="Z194" s="138">
        <f t="shared" ref="Z194:Z208" si="178">Y194*(H194/1000)</f>
        <v>6.6041272554628794</v>
      </c>
      <c r="AA194" s="147"/>
      <c r="AB194" s="140" t="str">
        <f t="shared" ref="AB194:AB208" si="179">VLOOKUP(C194,$B$399:$C$431,2,FALSE)</f>
        <v>H28年建築物省エネルギー法</v>
      </c>
      <c r="AC194" s="103" t="s">
        <v>346</v>
      </c>
      <c r="AD194" s="103" t="s">
        <v>410</v>
      </c>
      <c r="AE194" s="103" t="s">
        <v>376</v>
      </c>
      <c r="AF194" s="103" t="s">
        <v>403</v>
      </c>
    </row>
    <row r="195" spans="1:32" ht="14.2" customHeight="1" x14ac:dyDescent="0.25">
      <c r="A195" s="167" t="s">
        <v>348</v>
      </c>
      <c r="B195" s="145">
        <v>0.8</v>
      </c>
      <c r="C195" s="364">
        <v>10</v>
      </c>
      <c r="D195" s="130">
        <v>2.5999999999999999E-2</v>
      </c>
      <c r="E195" s="387">
        <v>22</v>
      </c>
      <c r="F195" s="131">
        <f t="shared" ref="F195:F196" si="180">D195/(3600*10^-9/760*1.013*10^5)</f>
        <v>54.1844905122299</v>
      </c>
      <c r="G195" s="384">
        <v>90</v>
      </c>
      <c r="H195" s="132">
        <v>100</v>
      </c>
      <c r="I195" s="129">
        <f t="shared" si="173"/>
        <v>0.125</v>
      </c>
      <c r="J195" s="364">
        <v>90</v>
      </c>
      <c r="K195" s="130">
        <f t="shared" si="174"/>
        <v>2.5999999999999999E-3</v>
      </c>
      <c r="L195" s="382">
        <v>90</v>
      </c>
      <c r="M195" s="133">
        <f t="shared" si="175"/>
        <v>5.4184490512229893</v>
      </c>
      <c r="N195" s="383">
        <v>90</v>
      </c>
      <c r="O195" s="134">
        <v>1900</v>
      </c>
      <c r="P195" s="428">
        <v>11</v>
      </c>
      <c r="Q195" s="135">
        <f>O195/S195</f>
        <v>1</v>
      </c>
      <c r="R195" s="428">
        <v>90</v>
      </c>
      <c r="S195" s="135">
        <v>1900</v>
      </c>
      <c r="T195" s="428">
        <v>22</v>
      </c>
      <c r="U195" s="135">
        <v>0.11</v>
      </c>
      <c r="V195" s="428">
        <v>11</v>
      </c>
      <c r="W195" s="136">
        <f t="shared" si="176"/>
        <v>1232.8828005937953</v>
      </c>
      <c r="X195" s="137">
        <f t="shared" si="138"/>
        <v>4.2105263157894743</v>
      </c>
      <c r="Y195" s="138">
        <f t="shared" si="177"/>
        <v>5.110336566727228</v>
      </c>
      <c r="Z195" s="138">
        <f t="shared" si="178"/>
        <v>0.51103365667272282</v>
      </c>
      <c r="AA195" s="147"/>
      <c r="AB195" s="140" t="str">
        <f t="shared" si="179"/>
        <v>H28年建築物省エネルギー法</v>
      </c>
      <c r="AC195" s="103" t="s">
        <v>416</v>
      </c>
      <c r="AD195" s="103" t="s">
        <v>410</v>
      </c>
      <c r="AE195" s="103" t="s">
        <v>376</v>
      </c>
    </row>
    <row r="196" spans="1:32" ht="14.2" customHeight="1" x14ac:dyDescent="0.25">
      <c r="A196" s="167" t="s">
        <v>349</v>
      </c>
      <c r="B196" s="145">
        <v>0.5</v>
      </c>
      <c r="C196" s="364">
        <v>10</v>
      </c>
      <c r="D196" s="130">
        <v>2.5999999999999999E-2</v>
      </c>
      <c r="E196" s="387">
        <v>22</v>
      </c>
      <c r="F196" s="131">
        <f t="shared" si="180"/>
        <v>54.1844905122299</v>
      </c>
      <c r="G196" s="384">
        <v>90</v>
      </c>
      <c r="H196" s="132">
        <v>100</v>
      </c>
      <c r="I196" s="129">
        <f t="shared" si="173"/>
        <v>0.2</v>
      </c>
      <c r="J196" s="364">
        <v>90</v>
      </c>
      <c r="K196" s="130">
        <f t="shared" si="174"/>
        <v>2.5999999999999999E-3</v>
      </c>
      <c r="L196" s="382">
        <v>90</v>
      </c>
      <c r="M196" s="133">
        <f t="shared" si="175"/>
        <v>5.4184490512229893</v>
      </c>
      <c r="N196" s="383">
        <v>90</v>
      </c>
      <c r="O196" s="134">
        <v>1600</v>
      </c>
      <c r="P196" s="428">
        <v>11</v>
      </c>
      <c r="Q196" s="135">
        <f>O196/S196</f>
        <v>1</v>
      </c>
      <c r="R196" s="428">
        <v>90</v>
      </c>
      <c r="S196" s="135">
        <v>1600</v>
      </c>
      <c r="T196" s="428">
        <v>22</v>
      </c>
      <c r="U196" s="135">
        <v>0.08</v>
      </c>
      <c r="V196" s="428">
        <v>11</v>
      </c>
      <c r="W196" s="136">
        <f t="shared" si="176"/>
        <v>894.42719099991587</v>
      </c>
      <c r="X196" s="137">
        <f t="shared" si="138"/>
        <v>3.125</v>
      </c>
      <c r="Y196" s="138">
        <f t="shared" si="177"/>
        <v>5.110336566727228</v>
      </c>
      <c r="Z196" s="138">
        <f t="shared" si="178"/>
        <v>0.51103365667272282</v>
      </c>
      <c r="AA196" s="147"/>
      <c r="AB196" s="140" t="str">
        <f t="shared" si="179"/>
        <v>H28年建築物省エネルギー法</v>
      </c>
      <c r="AC196" s="103" t="s">
        <v>416</v>
      </c>
      <c r="AD196" s="103" t="s">
        <v>410</v>
      </c>
      <c r="AE196" s="103" t="s">
        <v>376</v>
      </c>
    </row>
    <row r="197" spans="1:32" ht="14.2" customHeight="1" x14ac:dyDescent="0.25">
      <c r="A197" s="167" t="s">
        <v>268</v>
      </c>
      <c r="B197" s="145">
        <v>1.1000000000000001</v>
      </c>
      <c r="C197" s="364">
        <v>10</v>
      </c>
      <c r="D197" s="130">
        <v>0.13</v>
      </c>
      <c r="E197" s="382">
        <v>11</v>
      </c>
      <c r="F197" s="131">
        <v>270</v>
      </c>
      <c r="G197" s="382">
        <v>11</v>
      </c>
      <c r="H197" s="132">
        <v>100</v>
      </c>
      <c r="I197" s="129">
        <f t="shared" si="173"/>
        <v>9.0909090909090912E-2</v>
      </c>
      <c r="J197" s="364">
        <v>90</v>
      </c>
      <c r="K197" s="130">
        <f t="shared" si="174"/>
        <v>1.2999999999999999E-2</v>
      </c>
      <c r="L197" s="382">
        <v>90</v>
      </c>
      <c r="M197" s="133">
        <f t="shared" si="175"/>
        <v>27</v>
      </c>
      <c r="N197" s="383">
        <v>90</v>
      </c>
      <c r="O197" s="134">
        <v>2304</v>
      </c>
      <c r="P197" s="428">
        <v>54</v>
      </c>
      <c r="Q197" s="135">
        <v>0.96</v>
      </c>
      <c r="R197" s="428">
        <v>54</v>
      </c>
      <c r="S197" s="135"/>
      <c r="T197" s="428"/>
      <c r="U197" s="135">
        <f>((B197/O197)/($B$194/$O$194))*0.2</f>
        <v>0.1193576388888889</v>
      </c>
      <c r="V197" s="428">
        <v>90</v>
      </c>
      <c r="W197" s="136">
        <f t="shared" si="176"/>
        <v>1591.979899370592</v>
      </c>
      <c r="X197" s="137">
        <f t="shared" si="138"/>
        <v>4.7743055555555562</v>
      </c>
      <c r="Y197" s="138">
        <f t="shared" si="177"/>
        <v>25.551682833636136</v>
      </c>
      <c r="Z197" s="138">
        <f t="shared" si="178"/>
        <v>2.5551682833636136</v>
      </c>
      <c r="AA197" s="139"/>
      <c r="AB197" s="140" t="str">
        <f t="shared" si="179"/>
        <v>H28年建築物省エネルギー法</v>
      </c>
      <c r="AC197" s="103" t="s">
        <v>346</v>
      </c>
      <c r="AD197" s="140" t="str">
        <f>VLOOKUP(P197,$B$399:$C$431,2,FALSE)</f>
        <v>「健康なすまいへの道」建築資料研究社</v>
      </c>
      <c r="AE197" s="103" t="s">
        <v>382</v>
      </c>
    </row>
    <row r="198" spans="1:32" ht="14.2" customHeight="1" x14ac:dyDescent="0.25">
      <c r="A198" s="167" t="s">
        <v>269</v>
      </c>
      <c r="B198" s="145">
        <v>0.53</v>
      </c>
      <c r="C198" s="364">
        <v>10</v>
      </c>
      <c r="D198" s="130">
        <v>0.13</v>
      </c>
      <c r="E198" s="382">
        <v>11</v>
      </c>
      <c r="F198" s="131">
        <v>270</v>
      </c>
      <c r="G198" s="382">
        <v>11</v>
      </c>
      <c r="H198" s="132">
        <v>100</v>
      </c>
      <c r="I198" s="129">
        <f t="shared" si="173"/>
        <v>0.18867924528301888</v>
      </c>
      <c r="J198" s="364">
        <v>90</v>
      </c>
      <c r="K198" s="130">
        <f t="shared" si="174"/>
        <v>1.2999999999999999E-2</v>
      </c>
      <c r="L198" s="382">
        <v>90</v>
      </c>
      <c r="M198" s="133">
        <f t="shared" si="175"/>
        <v>27</v>
      </c>
      <c r="N198" s="383">
        <v>90</v>
      </c>
      <c r="O198" s="134">
        <v>1260</v>
      </c>
      <c r="P198" s="428">
        <v>54</v>
      </c>
      <c r="Q198" s="135">
        <v>1.05</v>
      </c>
      <c r="R198" s="428">
        <v>54</v>
      </c>
      <c r="S198" s="135">
        <v>1200</v>
      </c>
      <c r="T198" s="428">
        <v>54</v>
      </c>
      <c r="U198" s="135">
        <f>((B198/O198)/($B$194/$O$194))*0.2</f>
        <v>0.10515873015873017</v>
      </c>
      <c r="V198" s="428">
        <v>90</v>
      </c>
      <c r="W198" s="136">
        <f t="shared" si="176"/>
        <v>817.19030831257419</v>
      </c>
      <c r="X198" s="137">
        <f t="shared" si="138"/>
        <v>4.2063492063492065</v>
      </c>
      <c r="Y198" s="138">
        <f t="shared" si="177"/>
        <v>25.551682833636136</v>
      </c>
      <c r="Z198" s="138">
        <f t="shared" si="178"/>
        <v>2.5551682833636136</v>
      </c>
      <c r="AA198" s="139"/>
      <c r="AB198" s="140" t="str">
        <f t="shared" si="179"/>
        <v>H28年建築物省エネルギー法</v>
      </c>
      <c r="AC198" s="103" t="s">
        <v>346</v>
      </c>
      <c r="AD198" s="140" t="str">
        <f>VLOOKUP(P198,$B$399:$C$431,2,FALSE)</f>
        <v>「健康なすまいへの道」建築資料研究社</v>
      </c>
      <c r="AE198" s="103" t="s">
        <v>382</v>
      </c>
    </row>
    <row r="199" spans="1:32" ht="14.2" customHeight="1" x14ac:dyDescent="0.25">
      <c r="A199" s="156" t="s">
        <v>90</v>
      </c>
      <c r="B199" s="152">
        <v>1.5</v>
      </c>
      <c r="C199" s="364">
        <v>10</v>
      </c>
      <c r="D199" s="130">
        <v>0.61699999999999999</v>
      </c>
      <c r="E199" s="382">
        <v>11</v>
      </c>
      <c r="F199" s="146">
        <v>1290</v>
      </c>
      <c r="G199" s="382">
        <v>11</v>
      </c>
      <c r="H199" s="199">
        <v>50</v>
      </c>
      <c r="I199" s="129">
        <f t="shared" si="173"/>
        <v>3.3333333333333333E-2</v>
      </c>
      <c r="J199" s="364">
        <v>90</v>
      </c>
      <c r="K199" s="130">
        <f t="shared" si="174"/>
        <v>3.0850000000000002E-2</v>
      </c>
      <c r="L199" s="382">
        <v>90</v>
      </c>
      <c r="M199" s="133">
        <f t="shared" si="175"/>
        <v>64.5</v>
      </c>
      <c r="N199" s="383">
        <v>90</v>
      </c>
      <c r="O199" s="153">
        <v>1600</v>
      </c>
      <c r="P199" s="428">
        <v>11</v>
      </c>
      <c r="Q199" s="135">
        <f>O199/S199</f>
        <v>0.85561497326203206</v>
      </c>
      <c r="R199" s="428">
        <v>90</v>
      </c>
      <c r="S199" s="155">
        <v>1870</v>
      </c>
      <c r="T199" s="430">
        <v>22</v>
      </c>
      <c r="U199" s="135">
        <v>0.23</v>
      </c>
      <c r="V199" s="428">
        <v>90</v>
      </c>
      <c r="W199" s="136">
        <f t="shared" si="176"/>
        <v>1549.1933384829667</v>
      </c>
      <c r="X199" s="137">
        <f t="shared" si="138"/>
        <v>9.375</v>
      </c>
      <c r="Y199" s="138">
        <f t="shared" si="177"/>
        <v>121.27221775656537</v>
      </c>
      <c r="Z199" s="138">
        <f t="shared" si="178"/>
        <v>6.0636108878282684</v>
      </c>
      <c r="AA199" s="154"/>
      <c r="AB199" s="140" t="str">
        <f t="shared" si="179"/>
        <v>H28年建築物省エネルギー法</v>
      </c>
      <c r="AC199" s="103" t="s">
        <v>346</v>
      </c>
      <c r="AD199" s="103" t="s">
        <v>410</v>
      </c>
      <c r="AE199" s="103" t="s">
        <v>377</v>
      </c>
      <c r="AF199" s="103" t="s">
        <v>402</v>
      </c>
    </row>
    <row r="200" spans="1:32" ht="14.2" customHeight="1" x14ac:dyDescent="0.25">
      <c r="A200" s="167" t="s">
        <v>91</v>
      </c>
      <c r="B200" s="145">
        <v>0.4</v>
      </c>
      <c r="C200" s="364">
        <v>10</v>
      </c>
      <c r="D200" s="130"/>
      <c r="E200" s="387"/>
      <c r="F200" s="131"/>
      <c r="G200" s="383"/>
      <c r="H200" s="132">
        <v>100</v>
      </c>
      <c r="I200" s="129">
        <f t="shared" si="173"/>
        <v>0.25</v>
      </c>
      <c r="J200" s="364">
        <v>90</v>
      </c>
      <c r="K200" s="130"/>
      <c r="L200" s="382"/>
      <c r="M200" s="133"/>
      <c r="N200" s="383"/>
      <c r="O200" s="134">
        <v>2100</v>
      </c>
      <c r="P200" s="428">
        <v>11</v>
      </c>
      <c r="Q200" s="135"/>
      <c r="R200" s="428"/>
      <c r="S200" s="135"/>
      <c r="T200" s="428"/>
      <c r="U200" s="135">
        <v>0.05</v>
      </c>
      <c r="V200" s="428">
        <v>90</v>
      </c>
      <c r="W200" s="136">
        <f t="shared" si="176"/>
        <v>916.51513899116799</v>
      </c>
      <c r="X200" s="137">
        <f t="shared" si="138"/>
        <v>1.9047619047619049</v>
      </c>
      <c r="Y200" s="138">
        <f t="shared" si="177"/>
        <v>0</v>
      </c>
      <c r="Z200" s="138">
        <f t="shared" si="178"/>
        <v>0</v>
      </c>
      <c r="AA200" s="141"/>
      <c r="AB200" s="140" t="str">
        <f t="shared" si="179"/>
        <v>H28年建築物省エネルギー法</v>
      </c>
      <c r="AC200" s="140"/>
      <c r="AD200" s="103" t="s">
        <v>410</v>
      </c>
      <c r="AE200" s="103" t="s">
        <v>383</v>
      </c>
    </row>
    <row r="201" spans="1:32" ht="14.2" customHeight="1" x14ac:dyDescent="0.25">
      <c r="A201" s="167" t="s">
        <v>368</v>
      </c>
      <c r="B201" s="145">
        <v>0.19</v>
      </c>
      <c r="C201" s="364">
        <v>10</v>
      </c>
      <c r="D201" s="130">
        <v>2.64E-2</v>
      </c>
      <c r="E201" s="382">
        <v>11</v>
      </c>
      <c r="F201" s="131">
        <v>55</v>
      </c>
      <c r="G201" s="382">
        <v>11</v>
      </c>
      <c r="H201" s="132">
        <v>100</v>
      </c>
      <c r="I201" s="129">
        <f t="shared" si="173"/>
        <v>0.52631578947368418</v>
      </c>
      <c r="J201" s="364">
        <v>90</v>
      </c>
      <c r="K201" s="130">
        <f t="shared" ref="K201" si="181">D201*H201/1000</f>
        <v>2.64E-3</v>
      </c>
      <c r="L201" s="382">
        <v>90</v>
      </c>
      <c r="M201" s="133">
        <f t="shared" ref="M201" si="182">F201*H201/1000</f>
        <v>5.5</v>
      </c>
      <c r="N201" s="383">
        <v>90</v>
      </c>
      <c r="O201" s="134">
        <v>660</v>
      </c>
      <c r="P201" s="428">
        <v>11</v>
      </c>
      <c r="Q201" s="135">
        <f>O201/S201</f>
        <v>1.1000000000000001</v>
      </c>
      <c r="R201" s="428">
        <v>90</v>
      </c>
      <c r="S201" s="135">
        <v>600</v>
      </c>
      <c r="T201" s="428">
        <v>22</v>
      </c>
      <c r="U201" s="135">
        <f>((B201/O201)/($B$194/$O$194))*0.2</f>
        <v>7.1969696969696961E-2</v>
      </c>
      <c r="V201" s="428">
        <v>90</v>
      </c>
      <c r="W201" s="136">
        <f t="shared" si="176"/>
        <v>354.11862419251548</v>
      </c>
      <c r="X201" s="137">
        <f t="shared" si="138"/>
        <v>2.8787878787878785</v>
      </c>
      <c r="Y201" s="138">
        <f t="shared" si="177"/>
        <v>5.1889571292922625</v>
      </c>
      <c r="Z201" s="138">
        <f t="shared" si="178"/>
        <v>0.51889571292922632</v>
      </c>
      <c r="AA201" s="141"/>
      <c r="AB201" s="140" t="str">
        <f t="shared" si="179"/>
        <v>H28年建築物省エネルギー法</v>
      </c>
      <c r="AC201" s="103" t="s">
        <v>346</v>
      </c>
      <c r="AD201" s="103" t="s">
        <v>410</v>
      </c>
      <c r="AE201" s="103" t="s">
        <v>381</v>
      </c>
      <c r="AF201" s="103" t="s">
        <v>402</v>
      </c>
    </row>
    <row r="202" spans="1:32" ht="14.2" customHeight="1" x14ac:dyDescent="0.25">
      <c r="A202" s="167" t="s">
        <v>136</v>
      </c>
      <c r="B202" s="145">
        <v>0.61599999999999999</v>
      </c>
      <c r="C202" s="364">
        <v>50</v>
      </c>
      <c r="D202" s="130">
        <f>F202*3600*10^-9/760*1.013*10^5</f>
        <v>0.21810743052631579</v>
      </c>
      <c r="E202" s="387">
        <v>90</v>
      </c>
      <c r="F202" s="131">
        <v>454.54</v>
      </c>
      <c r="G202" s="383">
        <v>52</v>
      </c>
      <c r="H202" s="132">
        <v>100</v>
      </c>
      <c r="I202" s="129">
        <f t="shared" si="173"/>
        <v>0.16233766233766236</v>
      </c>
      <c r="J202" s="364">
        <v>90</v>
      </c>
      <c r="K202" s="130">
        <f t="shared" ref="K202:K203" si="183">D202*H202/1000</f>
        <v>2.181074305263158E-2</v>
      </c>
      <c r="L202" s="382">
        <v>90</v>
      </c>
      <c r="M202" s="133">
        <f t="shared" ref="M202:M203" si="184">F202*H202/1000</f>
        <v>45.454000000000001</v>
      </c>
      <c r="N202" s="383">
        <v>90</v>
      </c>
      <c r="O202" s="134">
        <v>1386</v>
      </c>
      <c r="P202" s="428">
        <v>62</v>
      </c>
      <c r="Q202" s="135">
        <f>O202/S202</f>
        <v>0.81529411764705884</v>
      </c>
      <c r="R202" s="428">
        <v>90</v>
      </c>
      <c r="S202" s="135">
        <v>1700</v>
      </c>
      <c r="T202" s="428">
        <v>22</v>
      </c>
      <c r="U202" s="135">
        <f>((B202/O202)/($B$194/$O$194))*0.2</f>
        <v>0.11111111111111112</v>
      </c>
      <c r="V202" s="428">
        <v>90</v>
      </c>
      <c r="W202" s="136">
        <f t="shared" si="176"/>
        <v>924</v>
      </c>
      <c r="X202" s="137">
        <f t="shared" si="138"/>
        <v>4.4444444444444446</v>
      </c>
      <c r="Y202" s="138">
        <f t="shared" si="177"/>
        <v>42.869322218982695</v>
      </c>
      <c r="Z202" s="138">
        <f t="shared" si="178"/>
        <v>4.2869322218982697</v>
      </c>
      <c r="AA202" s="144"/>
      <c r="AB202" s="140" t="str">
        <f t="shared" si="179"/>
        <v>「建築の結露」井上書院</v>
      </c>
      <c r="AC202" s="140" t="str">
        <f>VLOOKUP(G202,$B$399:$C$431,2,FALSE)</f>
        <v>「住宅の結露防止」学芸出版社 (2004/04)</v>
      </c>
    </row>
    <row r="203" spans="1:32" ht="14.2" customHeight="1" x14ac:dyDescent="0.25">
      <c r="A203" s="167" t="s">
        <v>137</v>
      </c>
      <c r="B203" s="145">
        <v>0.98899999999999999</v>
      </c>
      <c r="C203" s="364">
        <v>50</v>
      </c>
      <c r="D203" s="130">
        <f>F203*3600*10^-9/760*1.013*10^5</f>
        <v>0.15994576894736845</v>
      </c>
      <c r="E203" s="387">
        <v>90</v>
      </c>
      <c r="F203" s="131">
        <v>333.33</v>
      </c>
      <c r="G203" s="383">
        <v>63</v>
      </c>
      <c r="H203" s="132">
        <v>100</v>
      </c>
      <c r="I203" s="129">
        <f t="shared" si="173"/>
        <v>0.10111223458038422</v>
      </c>
      <c r="J203" s="364">
        <v>90</v>
      </c>
      <c r="K203" s="130">
        <f t="shared" si="183"/>
        <v>1.5994576894736844E-2</v>
      </c>
      <c r="L203" s="382">
        <v>90</v>
      </c>
      <c r="M203" s="133">
        <f t="shared" si="184"/>
        <v>33.332999999999998</v>
      </c>
      <c r="N203" s="383">
        <v>90</v>
      </c>
      <c r="O203" s="134">
        <v>1533.0250000000001</v>
      </c>
      <c r="P203" s="428">
        <v>61</v>
      </c>
      <c r="Q203" s="135"/>
      <c r="R203" s="428"/>
      <c r="S203" s="135">
        <v>1850</v>
      </c>
      <c r="T203" s="428">
        <v>22</v>
      </c>
      <c r="U203" s="135">
        <f>((B203/O203)/($B$194/$O$194))*0.2</f>
        <v>0.16128243179334975</v>
      </c>
      <c r="V203" s="428">
        <v>90</v>
      </c>
      <c r="W203" s="136">
        <f t="shared" si="176"/>
        <v>1231.3251905975123</v>
      </c>
      <c r="X203" s="137">
        <f t="shared" si="138"/>
        <v>6.4512972717339903</v>
      </c>
      <c r="Y203" s="138">
        <f t="shared" si="177"/>
        <v>31.437565836347741</v>
      </c>
      <c r="Z203" s="138">
        <f t="shared" si="178"/>
        <v>3.1437565836347741</v>
      </c>
      <c r="AA203" s="144"/>
      <c r="AB203" s="140" t="str">
        <f t="shared" si="179"/>
        <v>「建築の結露」井上書院</v>
      </c>
      <c r="AC203" s="140" t="str">
        <f>VLOOKUP(G203,$B$399:$C$431,2,FALSE)</f>
        <v>WinDEWマニュアル</v>
      </c>
      <c r="AD203" s="140" t="str">
        <f>VLOOKUP(P203,$B$399:$C$431,2,FALSE)</f>
        <v>smash マニュアル</v>
      </c>
    </row>
    <row r="204" spans="1:32" ht="14.2" customHeight="1" x14ac:dyDescent="0.25">
      <c r="A204" s="167" t="s">
        <v>441</v>
      </c>
      <c r="B204" s="145">
        <v>1.5</v>
      </c>
      <c r="C204" s="364">
        <v>99</v>
      </c>
      <c r="D204" s="130">
        <f>F204*3600*10^-9/760*1.013*10^5</f>
        <v>0.40620297029702973</v>
      </c>
      <c r="E204" s="387">
        <v>90</v>
      </c>
      <c r="F204" s="131">
        <f>M204/(H204/1000)</f>
        <v>846.53465346534665</v>
      </c>
      <c r="G204" s="383">
        <v>90</v>
      </c>
      <c r="H204" s="132">
        <v>20.2</v>
      </c>
      <c r="I204" s="129">
        <f t="shared" ref="I204" si="185">H204/B204/1000</f>
        <v>1.3466666666666667E-2</v>
      </c>
      <c r="J204" s="364">
        <v>90</v>
      </c>
      <c r="K204" s="130">
        <f t="shared" ref="K204" si="186">M204*3600*1000/760*1.013*10^5*10^-12</f>
        <v>8.2053000000000004E-3</v>
      </c>
      <c r="L204" s="382">
        <v>90</v>
      </c>
      <c r="M204" s="133">
        <v>17.100000000000001</v>
      </c>
      <c r="N204" s="383">
        <v>31</v>
      </c>
      <c r="O204" s="134"/>
      <c r="P204" s="428"/>
      <c r="Q204" s="135"/>
      <c r="R204" s="428"/>
      <c r="S204" s="135"/>
      <c r="T204" s="428"/>
      <c r="U204" s="135"/>
      <c r="V204" s="428"/>
      <c r="W204" s="136">
        <f t="shared" si="176"/>
        <v>0</v>
      </c>
      <c r="X204" s="137"/>
      <c r="Y204" s="138">
        <f t="shared" si="177"/>
        <v>79.839765100850968</v>
      </c>
      <c r="Z204" s="138">
        <f t="shared" si="178"/>
        <v>1.6127632550371895</v>
      </c>
      <c r="AA204" s="154"/>
      <c r="AB204" s="140" t="str">
        <f t="shared" si="179"/>
        <v>推測値</v>
      </c>
      <c r="AC204" s="140" t="str">
        <f>VLOOKUP(N204,$B$399:$C$431,2,FALSE)</f>
        <v>「結露防止ガイドブック」IBEC</v>
      </c>
      <c r="AD204" s="140"/>
    </row>
    <row r="205" spans="1:32" ht="14.2" customHeight="1" x14ac:dyDescent="0.25">
      <c r="A205" s="128" t="s">
        <v>246</v>
      </c>
      <c r="B205" s="145">
        <v>1.395</v>
      </c>
      <c r="C205" s="364">
        <v>51</v>
      </c>
      <c r="D205" s="130">
        <f>F205*3600*10^-9/760*1.013*10^5</f>
        <v>0.30374005263157894</v>
      </c>
      <c r="E205" s="387">
        <v>90</v>
      </c>
      <c r="F205" s="131">
        <v>633</v>
      </c>
      <c r="G205" s="383">
        <v>50</v>
      </c>
      <c r="H205" s="132">
        <v>50</v>
      </c>
      <c r="I205" s="129">
        <f>H205/B205/1000</f>
        <v>3.5842293906810034E-2</v>
      </c>
      <c r="J205" s="364">
        <v>11</v>
      </c>
      <c r="K205" s="130">
        <f t="shared" ref="K205:K207" si="187">D205*H205/1000</f>
        <v>1.5187002631578947E-2</v>
      </c>
      <c r="L205" s="382">
        <v>90</v>
      </c>
      <c r="M205" s="133">
        <f t="shared" ref="M205:M207" si="188">F205*H205/1000</f>
        <v>31.65</v>
      </c>
      <c r="N205" s="383">
        <v>90</v>
      </c>
      <c r="O205" s="134">
        <v>2306</v>
      </c>
      <c r="P205" s="428">
        <v>22</v>
      </c>
      <c r="Q205" s="135">
        <f>O205/S205</f>
        <v>1.1415841584158415</v>
      </c>
      <c r="R205" s="428">
        <v>90</v>
      </c>
      <c r="S205" s="135">
        <v>2020</v>
      </c>
      <c r="T205" s="428">
        <v>50</v>
      </c>
      <c r="U205" s="135">
        <v>0.12</v>
      </c>
      <c r="V205" s="428">
        <v>90</v>
      </c>
      <c r="W205" s="136">
        <f t="shared" si="176"/>
        <v>1793.5634920459327</v>
      </c>
      <c r="X205" s="137">
        <f t="shared" si="138"/>
        <v>6.0494362532523853</v>
      </c>
      <c r="Y205" s="138">
        <f t="shared" si="177"/>
        <v>59.700534528569641</v>
      </c>
      <c r="Z205" s="138">
        <f t="shared" si="178"/>
        <v>2.9850267264284822</v>
      </c>
      <c r="AA205" s="154"/>
      <c r="AB205" s="140" t="str">
        <f t="shared" si="179"/>
        <v>「建物の結露」学芸出版社 (2003/04)</v>
      </c>
      <c r="AC205" s="140" t="str">
        <f>VLOOKUP(G205,$B$399:$C$431,2,FALSE)</f>
        <v>「建築の結露」井上書院</v>
      </c>
      <c r="AD205" s="140" t="str">
        <f>VLOOKUP(P205,$B$399:$C$431,2,FALSE)</f>
        <v>「H11年省エネ基準解説」IBEC</v>
      </c>
    </row>
    <row r="206" spans="1:32" ht="14.2" customHeight="1" x14ac:dyDescent="0.25">
      <c r="A206" s="128" t="s">
        <v>491</v>
      </c>
      <c r="B206" s="145">
        <v>0.91900000000000004</v>
      </c>
      <c r="C206" s="364">
        <v>51</v>
      </c>
      <c r="D206" s="130">
        <f>F206*3600*10^-9/760*1.013*10^5</f>
        <v>7.8214263157894745E-2</v>
      </c>
      <c r="E206" s="387">
        <v>90</v>
      </c>
      <c r="F206" s="131">
        <v>163</v>
      </c>
      <c r="G206" s="383">
        <v>50</v>
      </c>
      <c r="H206" s="132">
        <v>50</v>
      </c>
      <c r="I206" s="129">
        <f>H206/B206/1000</f>
        <v>5.4406964091403692E-2</v>
      </c>
      <c r="J206" s="364">
        <v>11</v>
      </c>
      <c r="K206" s="130">
        <f t="shared" si="187"/>
        <v>3.9107131578947369E-3</v>
      </c>
      <c r="L206" s="382">
        <v>90</v>
      </c>
      <c r="M206" s="133">
        <f t="shared" si="188"/>
        <v>8.15</v>
      </c>
      <c r="N206" s="383">
        <v>90</v>
      </c>
      <c r="O206" s="134">
        <v>2306</v>
      </c>
      <c r="P206" s="428">
        <v>22</v>
      </c>
      <c r="Q206" s="135">
        <f>O206/S206</f>
        <v>1.3485380116959065</v>
      </c>
      <c r="R206" s="428">
        <v>90</v>
      </c>
      <c r="S206" s="135">
        <v>1710</v>
      </c>
      <c r="T206" s="428">
        <v>50</v>
      </c>
      <c r="U206" s="135">
        <v>0.12</v>
      </c>
      <c r="V206" s="428">
        <v>90</v>
      </c>
      <c r="W206" s="136">
        <f t="shared" si="176"/>
        <v>1455.752039325379</v>
      </c>
      <c r="X206" s="137">
        <f t="shared" si="138"/>
        <v>3.9852558542931482</v>
      </c>
      <c r="Y206" s="138">
        <f t="shared" si="177"/>
        <v>15.373123425208295</v>
      </c>
      <c r="Z206" s="138">
        <f t="shared" si="178"/>
        <v>0.76865617126041474</v>
      </c>
      <c r="AA206" s="154"/>
      <c r="AB206" s="140" t="str">
        <f t="shared" si="179"/>
        <v>「建物の結露」学芸出版社 (2003/04)</v>
      </c>
      <c r="AC206" s="140" t="str">
        <f>VLOOKUP(G206,$B$399:$C$431,2,FALSE)</f>
        <v>「建築の結露」井上書院</v>
      </c>
      <c r="AD206" s="140" t="str">
        <f>VLOOKUP(P206,$B$399:$C$431,2,FALSE)</f>
        <v>「H11年省エネ基準解説」IBEC</v>
      </c>
    </row>
    <row r="207" spans="1:32" ht="14.2" customHeight="1" x14ac:dyDescent="0.25">
      <c r="A207" s="167" t="s">
        <v>267</v>
      </c>
      <c r="B207" s="145">
        <v>2.3260000000000001</v>
      </c>
      <c r="C207" s="364">
        <v>51</v>
      </c>
      <c r="D207" s="130">
        <f t="shared" ref="D207" si="189">F207*3600*10^-9/760*1.013*10^5</f>
        <v>0.47984210526315796</v>
      </c>
      <c r="E207" s="387">
        <v>90</v>
      </c>
      <c r="F207" s="131">
        <v>1000</v>
      </c>
      <c r="G207" s="383">
        <v>63</v>
      </c>
      <c r="H207" s="132">
        <v>100</v>
      </c>
      <c r="I207" s="129">
        <f>H207/B207/1000</f>
        <v>4.2992261392949267E-2</v>
      </c>
      <c r="J207" s="364">
        <v>11</v>
      </c>
      <c r="K207" s="130">
        <f t="shared" si="187"/>
        <v>4.7984210526315796E-2</v>
      </c>
      <c r="L207" s="382">
        <v>90</v>
      </c>
      <c r="M207" s="133">
        <f t="shared" si="188"/>
        <v>100</v>
      </c>
      <c r="N207" s="383">
        <v>90</v>
      </c>
      <c r="O207" s="134">
        <v>1896</v>
      </c>
      <c r="P207" s="428">
        <v>62</v>
      </c>
      <c r="Q207" s="135">
        <f>O207/S207</f>
        <v>0.79</v>
      </c>
      <c r="R207" s="428">
        <v>90</v>
      </c>
      <c r="S207" s="135">
        <v>2400</v>
      </c>
      <c r="T207" s="428">
        <v>51</v>
      </c>
      <c r="U207" s="135">
        <f>((B207/O207)/($B$194/$O$194))*0.2</f>
        <v>0.30669831223628696</v>
      </c>
      <c r="V207" s="428">
        <v>90</v>
      </c>
      <c r="W207" s="136">
        <f t="shared" si="176"/>
        <v>2100.0228570184659</v>
      </c>
      <c r="X207" s="137">
        <f t="shared" si="138"/>
        <v>12.267932489451479</v>
      </c>
      <c r="Y207" s="138">
        <f t="shared" si="177"/>
        <v>94.313640645449681</v>
      </c>
      <c r="Z207" s="138">
        <f t="shared" si="178"/>
        <v>9.4313640645449688</v>
      </c>
      <c r="AA207" s="147"/>
      <c r="AB207" s="140" t="str">
        <f t="shared" si="179"/>
        <v>「建物の結露」学芸出版社 (2003/04)</v>
      </c>
      <c r="AC207" s="140" t="str">
        <f>VLOOKUP(G207,$B$399:$C$431,2,FALSE)</f>
        <v>WinDEWマニュアル</v>
      </c>
      <c r="AD207" s="140" t="str">
        <f>VLOOKUP(P207,$B$399:$C$431,2,FALSE)</f>
        <v>SolarDesigner6マニュアル</v>
      </c>
    </row>
    <row r="208" spans="1:32" ht="14.2" customHeight="1" thickBot="1" x14ac:dyDescent="0.3">
      <c r="A208" s="167" t="s">
        <v>150</v>
      </c>
      <c r="B208" s="145">
        <v>0.62</v>
      </c>
      <c r="C208" s="364">
        <v>62</v>
      </c>
      <c r="D208" s="130"/>
      <c r="E208" s="387"/>
      <c r="F208" s="131"/>
      <c r="G208" s="383"/>
      <c r="H208" s="132">
        <v>60</v>
      </c>
      <c r="I208" s="129">
        <f>H208/B208/1000</f>
        <v>9.6774193548387108E-2</v>
      </c>
      <c r="J208" s="364">
        <v>11</v>
      </c>
      <c r="K208" s="130"/>
      <c r="L208" s="382"/>
      <c r="M208" s="133"/>
      <c r="N208" s="383"/>
      <c r="O208" s="134">
        <v>1600</v>
      </c>
      <c r="P208" s="428">
        <v>62</v>
      </c>
      <c r="Q208" s="135"/>
      <c r="R208" s="428"/>
      <c r="S208" s="135"/>
      <c r="T208" s="428"/>
      <c r="U208" s="135">
        <f>((B208/O208)/($B$194/$O$194))*0.2</f>
        <v>9.6874999999999989E-2</v>
      </c>
      <c r="V208" s="428">
        <v>90</v>
      </c>
      <c r="W208" s="136">
        <f t="shared" si="176"/>
        <v>995.99196783909861</v>
      </c>
      <c r="X208" s="137">
        <f t="shared" si="138"/>
        <v>3.875</v>
      </c>
      <c r="Y208" s="138">
        <f t="shared" si="177"/>
        <v>0</v>
      </c>
      <c r="Z208" s="138">
        <f t="shared" si="178"/>
        <v>0</v>
      </c>
      <c r="AA208" s="144"/>
      <c r="AB208" s="140" t="str">
        <f t="shared" si="179"/>
        <v>SolarDesigner6マニュアル</v>
      </c>
      <c r="AC208" s="140"/>
      <c r="AD208" s="140" t="str">
        <f>VLOOKUP(P208,$B$399:$C$431,2,FALSE)</f>
        <v>SolarDesigner6マニュアル</v>
      </c>
    </row>
    <row r="209" spans="1:31" ht="21" customHeight="1" thickTop="1" x14ac:dyDescent="0.25">
      <c r="A209" s="161" t="s">
        <v>357</v>
      </c>
      <c r="B209" s="162"/>
      <c r="C209" s="366"/>
      <c r="D209" s="163"/>
      <c r="E209" s="366"/>
      <c r="F209" s="162"/>
      <c r="G209" s="366"/>
      <c r="H209" s="162"/>
      <c r="I209" s="162"/>
      <c r="J209" s="366"/>
      <c r="K209" s="163"/>
      <c r="L209" s="366"/>
      <c r="M209" s="162"/>
      <c r="N209" s="366"/>
      <c r="O209" s="162"/>
      <c r="P209" s="366"/>
      <c r="Q209" s="162"/>
      <c r="R209" s="366"/>
      <c r="S209" s="162"/>
      <c r="T209" s="366"/>
      <c r="U209" s="162"/>
      <c r="V209" s="366"/>
      <c r="W209" s="164"/>
      <c r="X209" s="164"/>
      <c r="Y209" s="165"/>
      <c r="Z209" s="165"/>
      <c r="AA209" s="166"/>
      <c r="AD209" s="140"/>
    </row>
    <row r="210" spans="1:31" ht="14.2" customHeight="1" x14ac:dyDescent="0.25">
      <c r="A210" s="448" t="s">
        <v>97</v>
      </c>
      <c r="B210" s="201">
        <v>0.19</v>
      </c>
      <c r="C210" s="367">
        <v>10</v>
      </c>
      <c r="D210" s="169">
        <v>25.43</v>
      </c>
      <c r="E210" s="406">
        <v>22</v>
      </c>
      <c r="F210" s="202">
        <f t="shared" ref="F210" si="190">D210/(3600*10^-9/760*1.013*10^5)</f>
        <v>52996.599758692559</v>
      </c>
      <c r="G210" s="388">
        <v>90</v>
      </c>
      <c r="H210" s="171">
        <v>1.8</v>
      </c>
      <c r="I210" s="172">
        <f t="shared" ref="I210:I223" si="191">H210/B210/1000</f>
        <v>9.4736842105263147E-3</v>
      </c>
      <c r="J210" s="367">
        <v>90</v>
      </c>
      <c r="K210" s="169">
        <f t="shared" ref="K210" si="192">D210*H210/1000</f>
        <v>4.5774000000000002E-2</v>
      </c>
      <c r="L210" s="413">
        <v>90</v>
      </c>
      <c r="M210" s="173">
        <f t="shared" ref="M210" si="193">F210*H210/1000</f>
        <v>95.393879565646614</v>
      </c>
      <c r="N210" s="406">
        <v>90</v>
      </c>
      <c r="O210" s="203">
        <v>1500</v>
      </c>
      <c r="P210" s="431">
        <v>11</v>
      </c>
      <c r="Q210" s="204"/>
      <c r="R210" s="431"/>
      <c r="S210" s="204"/>
      <c r="T210" s="431"/>
      <c r="U210" s="175">
        <v>0.03</v>
      </c>
      <c r="V210" s="431">
        <v>11</v>
      </c>
      <c r="W210" s="136">
        <f t="shared" ref="W210:W239" si="194">SQRT(B210*O210*1000)</f>
        <v>533.85391260156553</v>
      </c>
      <c r="X210" s="137">
        <f t="shared" si="138"/>
        <v>1.2666666666666666</v>
      </c>
      <c r="Y210" s="138">
        <f t="shared" ref="Y210" si="195">K210/(H210/1000)*((2*10^-7*(20+273)^0.81/101325)*10^12)</f>
        <v>4998.302265072055</v>
      </c>
      <c r="Z210" s="138">
        <f t="shared" ref="Z210" si="196">Y210*(H210/1000)</f>
        <v>8.9969440771296991</v>
      </c>
      <c r="AA210" s="144"/>
      <c r="AB210" s="140" t="str">
        <f t="shared" ref="AB210:AB224" si="197">VLOOKUP(C210,$B$399:$C$431,2,FALSE)</f>
        <v>H28年建築物省エネルギー法</v>
      </c>
      <c r="AC210" s="103" t="s">
        <v>416</v>
      </c>
      <c r="AD210" s="103" t="s">
        <v>410</v>
      </c>
      <c r="AE210" s="103" t="s">
        <v>377</v>
      </c>
    </row>
    <row r="211" spans="1:31" ht="14.2" customHeight="1" x14ac:dyDescent="0.25">
      <c r="A211" s="167" t="s">
        <v>358</v>
      </c>
      <c r="B211" s="145">
        <v>0.26</v>
      </c>
      <c r="C211" s="364">
        <v>10</v>
      </c>
      <c r="D211" s="157"/>
      <c r="E211" s="383"/>
      <c r="F211" s="131"/>
      <c r="G211" s="383"/>
      <c r="H211" s="132">
        <v>3</v>
      </c>
      <c r="I211" s="129">
        <f t="shared" si="191"/>
        <v>1.1538461538461539E-2</v>
      </c>
      <c r="J211" s="364">
        <v>90</v>
      </c>
      <c r="K211" s="157"/>
      <c r="L211" s="382"/>
      <c r="M211" s="133"/>
      <c r="N211" s="383"/>
      <c r="O211" s="149"/>
      <c r="P211" s="428"/>
      <c r="Q211" s="185"/>
      <c r="R211" s="428"/>
      <c r="S211" s="185"/>
      <c r="T211" s="428"/>
      <c r="U211" s="135"/>
      <c r="V211" s="428"/>
      <c r="W211" s="136">
        <f t="shared" si="194"/>
        <v>0</v>
      </c>
      <c r="X211" s="137"/>
      <c r="Y211" s="138"/>
      <c r="Z211" s="138"/>
      <c r="AA211" s="144"/>
      <c r="AB211" s="140" t="str">
        <f t="shared" si="197"/>
        <v>H28年建築物省エネルギー法</v>
      </c>
      <c r="AC211" s="140"/>
      <c r="AE211" s="103" t="s">
        <v>377</v>
      </c>
    </row>
    <row r="212" spans="1:31" ht="14.2" customHeight="1" x14ac:dyDescent="0.25">
      <c r="A212" s="167" t="s">
        <v>359</v>
      </c>
      <c r="B212" s="145">
        <v>0.11</v>
      </c>
      <c r="C212" s="364">
        <v>10</v>
      </c>
      <c r="D212" s="157"/>
      <c r="E212" s="383"/>
      <c r="F212" s="131"/>
      <c r="G212" s="383"/>
      <c r="H212" s="132">
        <v>1.5</v>
      </c>
      <c r="I212" s="129">
        <f t="shared" si="191"/>
        <v>1.3636363636363637E-2</v>
      </c>
      <c r="J212" s="364">
        <v>90</v>
      </c>
      <c r="K212" s="157"/>
      <c r="L212" s="382"/>
      <c r="M212" s="133"/>
      <c r="N212" s="383"/>
      <c r="O212" s="149"/>
      <c r="P212" s="428"/>
      <c r="Q212" s="185"/>
      <c r="R212" s="428"/>
      <c r="S212" s="185"/>
      <c r="T212" s="428"/>
      <c r="U212" s="135"/>
      <c r="V212" s="428"/>
      <c r="W212" s="136">
        <f t="shared" si="194"/>
        <v>0</v>
      </c>
      <c r="X212" s="137"/>
      <c r="Y212" s="138"/>
      <c r="Z212" s="138"/>
      <c r="AA212" s="154"/>
      <c r="AB212" s="140" t="str">
        <f t="shared" si="197"/>
        <v>H28年建築物省エネルギー法</v>
      </c>
      <c r="AE212" s="103" t="s">
        <v>377</v>
      </c>
    </row>
    <row r="213" spans="1:31" ht="14.2" customHeight="1" x14ac:dyDescent="0.25">
      <c r="A213" s="167" t="s">
        <v>360</v>
      </c>
      <c r="B213" s="145">
        <v>8.3000000000000004E-2</v>
      </c>
      <c r="C213" s="364">
        <v>10</v>
      </c>
      <c r="D213" s="157"/>
      <c r="E213" s="383"/>
      <c r="F213" s="131"/>
      <c r="G213" s="383"/>
      <c r="H213" s="132">
        <v>60</v>
      </c>
      <c r="I213" s="129">
        <f t="shared" si="191"/>
        <v>0.72289156626506024</v>
      </c>
      <c r="J213" s="364">
        <v>90</v>
      </c>
      <c r="K213" s="157"/>
      <c r="L213" s="382"/>
      <c r="M213" s="133"/>
      <c r="N213" s="383"/>
      <c r="O213" s="149">
        <v>529</v>
      </c>
      <c r="P213" s="428">
        <v>62</v>
      </c>
      <c r="Q213" s="185"/>
      <c r="R213" s="428"/>
      <c r="S213" s="185">
        <v>229</v>
      </c>
      <c r="T213" s="428">
        <v>50</v>
      </c>
      <c r="U213" s="135">
        <f>((B213/O213)/($B$194/$O$194))*0.2</f>
        <v>3.9224952741020801E-2</v>
      </c>
      <c r="V213" s="432">
        <v>90</v>
      </c>
      <c r="W213" s="136">
        <f t="shared" si="194"/>
        <v>209.53997232031887</v>
      </c>
      <c r="X213" s="137">
        <f t="shared" si="138"/>
        <v>1.5689981096408319</v>
      </c>
      <c r="Y213" s="138"/>
      <c r="Z213" s="138"/>
      <c r="AA213" s="154"/>
      <c r="AB213" s="140" t="str">
        <f t="shared" si="197"/>
        <v>H28年建築物省エネルギー法</v>
      </c>
      <c r="AD213" s="140" t="str">
        <f>VLOOKUP(P213,$B$399:$C$431,2,FALSE)</f>
        <v>SolarDesigner6マニュアル</v>
      </c>
      <c r="AE213" s="103" t="s">
        <v>377</v>
      </c>
    </row>
    <row r="214" spans="1:31" ht="14.2" customHeight="1" x14ac:dyDescent="0.25">
      <c r="A214" s="167" t="s">
        <v>361</v>
      </c>
      <c r="B214" s="145">
        <v>0.08</v>
      </c>
      <c r="C214" s="364">
        <v>10</v>
      </c>
      <c r="D214" s="157"/>
      <c r="E214" s="383"/>
      <c r="F214" s="131"/>
      <c r="G214" s="383"/>
      <c r="H214" s="132">
        <v>10</v>
      </c>
      <c r="I214" s="129">
        <f t="shared" si="191"/>
        <v>0.125</v>
      </c>
      <c r="J214" s="364">
        <v>90</v>
      </c>
      <c r="K214" s="157">
        <v>2.3E-2</v>
      </c>
      <c r="L214" s="382">
        <v>22</v>
      </c>
      <c r="M214" s="205">
        <f>K214*3600*1000/760*1.013*10^5*10^-12</f>
        <v>1.103636842105263E-5</v>
      </c>
      <c r="N214" s="383">
        <v>90</v>
      </c>
      <c r="O214" s="149">
        <v>328</v>
      </c>
      <c r="P214" s="428">
        <v>62</v>
      </c>
      <c r="Q214" s="185"/>
      <c r="R214" s="428"/>
      <c r="S214" s="185"/>
      <c r="T214" s="428"/>
      <c r="U214" s="135"/>
      <c r="V214" s="428"/>
      <c r="W214" s="136">
        <f t="shared" si="194"/>
        <v>161.98765385053269</v>
      </c>
      <c r="X214" s="137">
        <f t="shared" si="138"/>
        <v>2.4390243902439024</v>
      </c>
      <c r="Y214" s="138">
        <f t="shared" ref="Y214" si="198">K214/(H214/1000)*((2*10^-7*(20+273)^0.81/101325)*10^12)</f>
        <v>452.06823474894708</v>
      </c>
      <c r="Z214" s="138">
        <f t="shared" ref="Z214" si="199">Y214*(H214/1000)</f>
        <v>4.5206823474894708</v>
      </c>
      <c r="AA214" s="154"/>
      <c r="AB214" s="140" t="str">
        <f t="shared" si="197"/>
        <v>H28年建築物省エネルギー法</v>
      </c>
      <c r="AC214" s="140" t="str">
        <f>VLOOKUP(L214,$B$399:$C$431,2,FALSE)</f>
        <v>「H11年省エネ基準解説」IBEC</v>
      </c>
      <c r="AD214" s="140" t="str">
        <f>VLOOKUP(P214,$B$399:$C$431,2,FALSE)</f>
        <v>SolarDesigner6マニュアル</v>
      </c>
      <c r="AE214" s="103" t="s">
        <v>377</v>
      </c>
    </row>
    <row r="215" spans="1:31" ht="14.2" customHeight="1" x14ac:dyDescent="0.25">
      <c r="A215" s="128" t="s">
        <v>323</v>
      </c>
      <c r="B215" s="145">
        <v>7.0000000000000007E-2</v>
      </c>
      <c r="C215" s="364">
        <v>10</v>
      </c>
      <c r="D215" s="157"/>
      <c r="E215" s="383"/>
      <c r="F215" s="131"/>
      <c r="G215" s="383"/>
      <c r="H215" s="132">
        <v>60</v>
      </c>
      <c r="I215" s="129">
        <f t="shared" si="191"/>
        <v>0.8571428571428571</v>
      </c>
      <c r="J215" s="364">
        <v>90</v>
      </c>
      <c r="K215" s="157"/>
      <c r="L215" s="414"/>
      <c r="M215" s="133"/>
      <c r="N215" s="383"/>
      <c r="O215" s="149">
        <v>529</v>
      </c>
      <c r="P215" s="428">
        <v>62</v>
      </c>
      <c r="Q215" s="185"/>
      <c r="R215" s="428"/>
      <c r="S215" s="185"/>
      <c r="T215" s="428"/>
      <c r="U215" s="135"/>
      <c r="V215" s="428"/>
      <c r="W215" s="136">
        <f t="shared" si="194"/>
        <v>192.43180610283738</v>
      </c>
      <c r="X215" s="137">
        <f t="shared" si="138"/>
        <v>1.3232514177693764</v>
      </c>
      <c r="Y215" s="138"/>
      <c r="Z215" s="138"/>
      <c r="AA215" s="144"/>
      <c r="AB215" s="140" t="str">
        <f t="shared" si="197"/>
        <v>H28年建築物省エネルギー法</v>
      </c>
      <c r="AD215" s="140" t="str">
        <f>VLOOKUP(P215,$B$399:$C$431,2,FALSE)</f>
        <v>SolarDesigner6マニュアル</v>
      </c>
      <c r="AE215" s="103" t="s">
        <v>412</v>
      </c>
    </row>
    <row r="216" spans="1:31" ht="14.2" customHeight="1" x14ac:dyDescent="0.25">
      <c r="A216" s="128" t="s">
        <v>324</v>
      </c>
      <c r="B216" s="145">
        <v>5.3999999999999999E-2</v>
      </c>
      <c r="C216" s="364">
        <v>10</v>
      </c>
      <c r="D216" s="157"/>
      <c r="E216" s="383"/>
      <c r="F216" s="131"/>
      <c r="G216" s="383"/>
      <c r="H216" s="132">
        <v>60</v>
      </c>
      <c r="I216" s="129">
        <f t="shared" si="191"/>
        <v>1.1111111111111112</v>
      </c>
      <c r="J216" s="364">
        <v>90</v>
      </c>
      <c r="K216" s="157"/>
      <c r="L216" s="414"/>
      <c r="M216" s="133"/>
      <c r="N216" s="383"/>
      <c r="O216" s="149">
        <v>260</v>
      </c>
      <c r="P216" s="428">
        <v>62</v>
      </c>
      <c r="Q216" s="185"/>
      <c r="R216" s="428"/>
      <c r="S216" s="185"/>
      <c r="T216" s="428"/>
      <c r="U216" s="135"/>
      <c r="V216" s="428"/>
      <c r="W216" s="136">
        <f t="shared" si="194"/>
        <v>118.49050594878899</v>
      </c>
      <c r="X216" s="137">
        <f t="shared" si="138"/>
        <v>2.0769230769230766</v>
      </c>
      <c r="Y216" s="138"/>
      <c r="Z216" s="138"/>
      <c r="AA216" s="144"/>
      <c r="AB216" s="140" t="str">
        <f t="shared" si="197"/>
        <v>H28年建築物省エネルギー法</v>
      </c>
      <c r="AD216" s="140" t="str">
        <f>VLOOKUP(P216,$B$399:$C$431,2,FALSE)</f>
        <v>SolarDesigner6マニュアル</v>
      </c>
      <c r="AE216" s="103" t="s">
        <v>411</v>
      </c>
    </row>
    <row r="217" spans="1:31" ht="14.2" customHeight="1" x14ac:dyDescent="0.25">
      <c r="A217" s="128" t="s">
        <v>325</v>
      </c>
      <c r="B217" s="145">
        <v>6.3E-2</v>
      </c>
      <c r="C217" s="364">
        <v>10</v>
      </c>
      <c r="D217" s="157"/>
      <c r="E217" s="383"/>
      <c r="F217" s="131"/>
      <c r="G217" s="383"/>
      <c r="H217" s="132">
        <v>60</v>
      </c>
      <c r="I217" s="129">
        <f t="shared" si="191"/>
        <v>0.95238095238095244</v>
      </c>
      <c r="J217" s="364">
        <v>90</v>
      </c>
      <c r="K217" s="157"/>
      <c r="L217" s="414"/>
      <c r="M217" s="133"/>
      <c r="N217" s="383"/>
      <c r="O217" s="149">
        <v>260</v>
      </c>
      <c r="P217" s="428">
        <v>62</v>
      </c>
      <c r="Q217" s="185"/>
      <c r="R217" s="428"/>
      <c r="S217" s="185"/>
      <c r="T217" s="428"/>
      <c r="U217" s="135"/>
      <c r="V217" s="428"/>
      <c r="W217" s="136">
        <f t="shared" si="194"/>
        <v>127.98437404620924</v>
      </c>
      <c r="X217" s="137">
        <f t="shared" si="138"/>
        <v>2.4230769230769229</v>
      </c>
      <c r="Y217" s="138"/>
      <c r="Z217" s="138"/>
      <c r="AA217" s="144"/>
      <c r="AB217" s="140" t="str">
        <f t="shared" si="197"/>
        <v>H28年建築物省エネルギー法</v>
      </c>
      <c r="AD217" s="140" t="str">
        <f>VLOOKUP(P217,$B$399:$C$431,2,FALSE)</f>
        <v>SolarDesigner6マニュアル</v>
      </c>
      <c r="AE217" s="103" t="s">
        <v>411</v>
      </c>
    </row>
    <row r="218" spans="1:31" ht="14.2" customHeight="1" x14ac:dyDescent="0.25">
      <c r="A218" s="128" t="s">
        <v>327</v>
      </c>
      <c r="B218" s="145">
        <v>6.2E-2</v>
      </c>
      <c r="C218" s="364">
        <v>10</v>
      </c>
      <c r="D218" s="157"/>
      <c r="E218" s="383"/>
      <c r="F218" s="131"/>
      <c r="G218" s="383"/>
      <c r="H218" s="132">
        <v>60</v>
      </c>
      <c r="I218" s="129">
        <f t="shared" si="191"/>
        <v>0.967741935483871</v>
      </c>
      <c r="J218" s="364">
        <v>90</v>
      </c>
      <c r="K218" s="157"/>
      <c r="L218" s="414"/>
      <c r="M218" s="133"/>
      <c r="N218" s="383"/>
      <c r="O218" s="149"/>
      <c r="P218" s="428"/>
      <c r="Q218" s="185"/>
      <c r="R218" s="428"/>
      <c r="S218" s="185"/>
      <c r="T218" s="428"/>
      <c r="U218" s="135"/>
      <c r="V218" s="428"/>
      <c r="W218" s="136">
        <f t="shared" si="194"/>
        <v>0</v>
      </c>
      <c r="X218" s="137"/>
      <c r="Y218" s="138"/>
      <c r="Z218" s="138"/>
      <c r="AA218" s="144"/>
      <c r="AB218" s="140" t="str">
        <f t="shared" si="197"/>
        <v>H28年建築物省エネルギー法</v>
      </c>
      <c r="AE218" s="103" t="s">
        <v>414</v>
      </c>
    </row>
    <row r="219" spans="1:31" ht="14.2" customHeight="1" x14ac:dyDescent="0.25">
      <c r="A219" s="128" t="s">
        <v>328</v>
      </c>
      <c r="B219" s="145">
        <v>5.2999999999999999E-2</v>
      </c>
      <c r="C219" s="364">
        <v>10</v>
      </c>
      <c r="D219" s="157"/>
      <c r="E219" s="383"/>
      <c r="F219" s="131"/>
      <c r="G219" s="383"/>
      <c r="H219" s="132">
        <v>60</v>
      </c>
      <c r="I219" s="129">
        <f t="shared" si="191"/>
        <v>1.1320754716981132</v>
      </c>
      <c r="J219" s="364">
        <v>90</v>
      </c>
      <c r="K219" s="157"/>
      <c r="L219" s="414"/>
      <c r="M219" s="133"/>
      <c r="N219" s="383"/>
      <c r="O219" s="149"/>
      <c r="P219" s="428"/>
      <c r="Q219" s="185"/>
      <c r="R219" s="428"/>
      <c r="S219" s="185"/>
      <c r="T219" s="428"/>
      <c r="U219" s="135"/>
      <c r="V219" s="428"/>
      <c r="W219" s="136">
        <f t="shared" si="194"/>
        <v>0</v>
      </c>
      <c r="X219" s="137"/>
      <c r="Y219" s="138"/>
      <c r="Z219" s="138"/>
      <c r="AA219" s="144"/>
      <c r="AB219" s="140" t="str">
        <f t="shared" si="197"/>
        <v>H28年建築物省エネルギー法</v>
      </c>
      <c r="AE219" s="103" t="s">
        <v>413</v>
      </c>
    </row>
    <row r="220" spans="1:31" ht="14.2" customHeight="1" x14ac:dyDescent="0.25">
      <c r="A220" s="128" t="s">
        <v>329</v>
      </c>
      <c r="B220" s="145">
        <v>5.1999999999999998E-2</v>
      </c>
      <c r="C220" s="364">
        <v>10</v>
      </c>
      <c r="D220" s="157"/>
      <c r="E220" s="383"/>
      <c r="F220" s="131"/>
      <c r="G220" s="383"/>
      <c r="H220" s="132">
        <v>60</v>
      </c>
      <c r="I220" s="129">
        <f t="shared" si="191"/>
        <v>1.1538461538461537</v>
      </c>
      <c r="J220" s="364">
        <v>90</v>
      </c>
      <c r="K220" s="157"/>
      <c r="L220" s="414"/>
      <c r="M220" s="133"/>
      <c r="N220" s="383"/>
      <c r="O220" s="149"/>
      <c r="P220" s="428"/>
      <c r="Q220" s="185"/>
      <c r="R220" s="428"/>
      <c r="S220" s="185"/>
      <c r="T220" s="428"/>
      <c r="U220" s="135"/>
      <c r="V220" s="428"/>
      <c r="W220" s="136">
        <f t="shared" si="194"/>
        <v>0</v>
      </c>
      <c r="X220" s="137"/>
      <c r="Y220" s="138"/>
      <c r="Z220" s="138"/>
      <c r="AA220" s="144"/>
      <c r="AB220" s="140" t="str">
        <f t="shared" si="197"/>
        <v>H28年建築物省エネルギー法</v>
      </c>
      <c r="AE220" s="103" t="s">
        <v>413</v>
      </c>
    </row>
    <row r="221" spans="1:31" ht="14.2" customHeight="1" x14ac:dyDescent="0.25">
      <c r="A221" s="128" t="s">
        <v>326</v>
      </c>
      <c r="B221" s="145">
        <v>0.05</v>
      </c>
      <c r="C221" s="364">
        <v>10</v>
      </c>
      <c r="D221" s="157"/>
      <c r="E221" s="383"/>
      <c r="F221" s="131"/>
      <c r="G221" s="383"/>
      <c r="H221" s="132">
        <v>60</v>
      </c>
      <c r="I221" s="129">
        <f t="shared" si="191"/>
        <v>1.2</v>
      </c>
      <c r="J221" s="364">
        <v>90</v>
      </c>
      <c r="K221" s="157"/>
      <c r="L221" s="414"/>
      <c r="M221" s="133"/>
      <c r="N221" s="383"/>
      <c r="O221" s="149"/>
      <c r="P221" s="428"/>
      <c r="Q221" s="185"/>
      <c r="R221" s="428"/>
      <c r="S221" s="185"/>
      <c r="T221" s="428"/>
      <c r="U221" s="135"/>
      <c r="V221" s="428"/>
      <c r="W221" s="136">
        <f t="shared" si="194"/>
        <v>0</v>
      </c>
      <c r="X221" s="137"/>
      <c r="Y221" s="138"/>
      <c r="Z221" s="138"/>
      <c r="AA221" s="144"/>
      <c r="AB221" s="140" t="str">
        <f t="shared" si="197"/>
        <v>H28年建築物省エネルギー法</v>
      </c>
      <c r="AE221" s="103" t="s">
        <v>413</v>
      </c>
    </row>
    <row r="222" spans="1:31" ht="14.2" customHeight="1" x14ac:dyDescent="0.25">
      <c r="A222" s="128" t="s">
        <v>96</v>
      </c>
      <c r="B222" s="145">
        <v>0.11</v>
      </c>
      <c r="C222" s="364">
        <v>22</v>
      </c>
      <c r="D222" s="157">
        <f>F222*3600*10^-9/760*1.013*10^5</f>
        <v>2.3992105263157894E-2</v>
      </c>
      <c r="E222" s="383">
        <v>90</v>
      </c>
      <c r="F222" s="131">
        <v>50</v>
      </c>
      <c r="G222" s="383">
        <v>63</v>
      </c>
      <c r="H222" s="132">
        <v>60</v>
      </c>
      <c r="I222" s="129">
        <f t="shared" si="191"/>
        <v>0.54545454545454553</v>
      </c>
      <c r="J222" s="364">
        <v>90</v>
      </c>
      <c r="K222" s="157">
        <f t="shared" ref="K222" si="200">D222*H222/1000</f>
        <v>1.4395263157894738E-3</v>
      </c>
      <c r="L222" s="382">
        <v>90</v>
      </c>
      <c r="M222" s="133">
        <f t="shared" ref="M222" si="201">F222*H222/1000</f>
        <v>3</v>
      </c>
      <c r="N222" s="383">
        <v>90</v>
      </c>
      <c r="O222" s="134">
        <v>290</v>
      </c>
      <c r="P222" s="428">
        <v>11</v>
      </c>
      <c r="Q222" s="135">
        <f>O222/S222</f>
        <v>1.2663755458515285</v>
      </c>
      <c r="R222" s="428">
        <v>90</v>
      </c>
      <c r="S222" s="135">
        <v>229</v>
      </c>
      <c r="T222" s="428">
        <v>50</v>
      </c>
      <c r="U222" s="135">
        <v>0.13</v>
      </c>
      <c r="V222" s="428">
        <v>11</v>
      </c>
      <c r="W222" s="136">
        <f t="shared" si="194"/>
        <v>178.60571099491753</v>
      </c>
      <c r="X222" s="137">
        <f t="shared" si="138"/>
        <v>3.7931034482758621</v>
      </c>
      <c r="Y222" s="138">
        <f t="shared" ref="Y222" si="202">K222/(H222/1000)*((2*10^-7*(20+273)^0.81/101325)*10^12)</f>
        <v>4.7156820322724844</v>
      </c>
      <c r="Z222" s="138">
        <f t="shared" ref="Z222" si="203">Y222*(H222/1000)</f>
        <v>0.28294092193634907</v>
      </c>
      <c r="AA222" s="144"/>
      <c r="AB222" s="140" t="str">
        <f t="shared" si="197"/>
        <v>「H11年省エネ基準解説」IBEC</v>
      </c>
      <c r="AC222" s="140" t="str">
        <f>VLOOKUP(G222,$B$399:$C$431,2,FALSE)</f>
        <v>WinDEWマニュアル</v>
      </c>
      <c r="AD222" s="103" t="s">
        <v>410</v>
      </c>
    </row>
    <row r="223" spans="1:31" ht="14.2" customHeight="1" x14ac:dyDescent="0.25">
      <c r="A223" s="128" t="s">
        <v>158</v>
      </c>
      <c r="B223" s="145">
        <v>0.19</v>
      </c>
      <c r="C223" s="364">
        <v>22</v>
      </c>
      <c r="D223" s="157"/>
      <c r="E223" s="383"/>
      <c r="F223" s="131"/>
      <c r="G223" s="383"/>
      <c r="H223" s="132">
        <v>6</v>
      </c>
      <c r="I223" s="129">
        <f t="shared" si="191"/>
        <v>3.1578947368421054E-2</v>
      </c>
      <c r="J223" s="364">
        <v>90</v>
      </c>
      <c r="K223" s="157"/>
      <c r="L223" s="414"/>
      <c r="M223" s="133"/>
      <c r="N223" s="386"/>
      <c r="O223" s="134">
        <v>4.1859999999999999</v>
      </c>
      <c r="P223" s="428">
        <v>53</v>
      </c>
      <c r="Q223" s="135">
        <f>O223/S223</f>
        <v>2.7906666666666666E-3</v>
      </c>
      <c r="R223" s="428">
        <v>90</v>
      </c>
      <c r="S223" s="135">
        <v>1500</v>
      </c>
      <c r="T223" s="428">
        <v>22</v>
      </c>
      <c r="U223" s="135">
        <f>((B223/O223)/($B$194/$O$194))*0.2</f>
        <v>11.347348303870044</v>
      </c>
      <c r="V223" s="432">
        <v>90</v>
      </c>
      <c r="W223" s="136">
        <f t="shared" si="194"/>
        <v>28.201772993909444</v>
      </c>
      <c r="X223" s="137">
        <f t="shared" si="138"/>
        <v>453.89393215480175</v>
      </c>
      <c r="Y223" s="138"/>
      <c r="Z223" s="138"/>
      <c r="AA223" s="144"/>
      <c r="AB223" s="140" t="str">
        <f t="shared" si="197"/>
        <v>「H11年省エネ基準解説」IBEC</v>
      </c>
      <c r="AC223" s="140"/>
    </row>
    <row r="224" spans="1:31" ht="14.2" customHeight="1" x14ac:dyDescent="0.25">
      <c r="A224" s="167" t="s">
        <v>171</v>
      </c>
      <c r="B224" s="145">
        <v>1.2999999999999999E-2</v>
      </c>
      <c r="C224" s="364">
        <v>62</v>
      </c>
      <c r="D224" s="157">
        <v>31.58</v>
      </c>
      <c r="E224" s="383">
        <v>22</v>
      </c>
      <c r="F224" s="131">
        <f t="shared" ref="F224" si="204">D224/(3600*10^-9/760*1.013*10^5)</f>
        <v>65813.315783700775</v>
      </c>
      <c r="G224" s="384">
        <v>90</v>
      </c>
      <c r="H224" s="132">
        <v>0.5</v>
      </c>
      <c r="I224" s="129">
        <f>H224/B224/1000</f>
        <v>3.8461538461538457E-2</v>
      </c>
      <c r="J224" s="364">
        <v>11</v>
      </c>
      <c r="K224" s="157">
        <f t="shared" ref="K224:K226" si="205">D224*H224/1000</f>
        <v>1.5789999999999998E-2</v>
      </c>
      <c r="L224" s="382">
        <v>90</v>
      </c>
      <c r="M224" s="133">
        <f t="shared" ref="M224:M226" si="206">F224*H224/1000</f>
        <v>32.906657891850386</v>
      </c>
      <c r="N224" s="383">
        <v>90</v>
      </c>
      <c r="O224" s="179">
        <v>764.5</v>
      </c>
      <c r="P224" s="432">
        <v>62</v>
      </c>
      <c r="Q224" s="180"/>
      <c r="R224" s="432"/>
      <c r="S224" s="180"/>
      <c r="T224" s="432"/>
      <c r="U224" s="135">
        <f>((B224/O224)/($B$194/$O$194))*0.2</f>
        <v>4.251144538914323E-3</v>
      </c>
      <c r="V224" s="432">
        <v>90</v>
      </c>
      <c r="W224" s="136">
        <f t="shared" si="194"/>
        <v>99.692025759335436</v>
      </c>
      <c r="X224" s="137">
        <f t="shared" ref="X224:X266" si="207">B224/O224*10000</f>
        <v>0.17004578155657293</v>
      </c>
      <c r="Y224" s="138">
        <f t="shared" ref="Y224:Y236" si="208">K224/(H224/1000)*((2*10^-7*(20+273)^0.81/101325)*10^12)</f>
        <v>6207.0934145094552</v>
      </c>
      <c r="Z224" s="138">
        <f t="shared" ref="Z224:Z236" si="209">Y224*(H224/1000)</f>
        <v>3.1035467072547278</v>
      </c>
      <c r="AA224" s="154"/>
      <c r="AB224" s="140" t="str">
        <f t="shared" si="197"/>
        <v>SolarDesigner6マニュアル</v>
      </c>
      <c r="AC224" s="103" t="s">
        <v>416</v>
      </c>
      <c r="AD224" s="140" t="str">
        <f>VLOOKUP(P224,$B$399:$C$431,2,FALSE)</f>
        <v>SolarDesigner6マニュアル</v>
      </c>
    </row>
    <row r="225" spans="1:30" ht="14.2" customHeight="1" x14ac:dyDescent="0.25">
      <c r="A225" s="167" t="s">
        <v>172</v>
      </c>
      <c r="B225" s="145"/>
      <c r="C225" s="364"/>
      <c r="D225" s="157">
        <v>7.5830000000000002</v>
      </c>
      <c r="E225" s="383">
        <v>22</v>
      </c>
      <c r="F225" s="131">
        <f t="shared" ref="F225:F226" si="210">D225/(3600*10^-9/760*1.013*10^5)</f>
        <v>15803.115059778438</v>
      </c>
      <c r="G225" s="384">
        <v>90</v>
      </c>
      <c r="H225" s="132">
        <v>0.5</v>
      </c>
      <c r="I225" s="129"/>
      <c r="J225" s="364"/>
      <c r="K225" s="157">
        <f t="shared" si="205"/>
        <v>3.7915000000000002E-3</v>
      </c>
      <c r="L225" s="382">
        <v>90</v>
      </c>
      <c r="M225" s="133">
        <f t="shared" si="206"/>
        <v>7.9015575298892191</v>
      </c>
      <c r="N225" s="383">
        <v>90</v>
      </c>
      <c r="O225" s="149"/>
      <c r="P225" s="428"/>
      <c r="Q225" s="185"/>
      <c r="R225" s="428"/>
      <c r="S225" s="185">
        <v>733</v>
      </c>
      <c r="T225" s="428">
        <v>51</v>
      </c>
      <c r="U225" s="135"/>
      <c r="V225" s="428"/>
      <c r="W225" s="136">
        <f t="shared" si="194"/>
        <v>0</v>
      </c>
      <c r="X225" s="137"/>
      <c r="Y225" s="138">
        <f t="shared" si="208"/>
        <v>1490.4493148266374</v>
      </c>
      <c r="Z225" s="138">
        <f t="shared" si="209"/>
        <v>0.74522465741331867</v>
      </c>
      <c r="AA225" s="144"/>
      <c r="AB225" s="140"/>
      <c r="AC225" s="103" t="s">
        <v>416</v>
      </c>
      <c r="AD225" s="140"/>
    </row>
    <row r="226" spans="1:30" ht="14.2" customHeight="1" x14ac:dyDescent="0.25">
      <c r="A226" s="167" t="s">
        <v>419</v>
      </c>
      <c r="B226" s="145"/>
      <c r="C226" s="364"/>
      <c r="D226" s="157">
        <v>7.6790000000000003</v>
      </c>
      <c r="E226" s="383">
        <v>22</v>
      </c>
      <c r="F226" s="131">
        <f t="shared" si="210"/>
        <v>16003.180870900518</v>
      </c>
      <c r="G226" s="384">
        <v>90</v>
      </c>
      <c r="H226" s="132">
        <v>1.4</v>
      </c>
      <c r="I226" s="129"/>
      <c r="J226" s="364"/>
      <c r="K226" s="157">
        <f t="shared" si="205"/>
        <v>1.0750600000000001E-2</v>
      </c>
      <c r="L226" s="382">
        <v>90</v>
      </c>
      <c r="M226" s="133">
        <f t="shared" si="206"/>
        <v>22.404453219260727</v>
      </c>
      <c r="N226" s="383">
        <v>90</v>
      </c>
      <c r="O226" s="149"/>
      <c r="P226" s="428"/>
      <c r="Q226" s="185"/>
      <c r="R226" s="428"/>
      <c r="S226" s="185"/>
      <c r="T226" s="428"/>
      <c r="U226" s="135"/>
      <c r="V226" s="428"/>
      <c r="W226" s="136">
        <f t="shared" si="194"/>
        <v>0</v>
      </c>
      <c r="X226" s="137"/>
      <c r="Y226" s="138">
        <f t="shared" si="208"/>
        <v>1509.3182498422457</v>
      </c>
      <c r="Z226" s="138">
        <f t="shared" si="209"/>
        <v>2.1130455497791441</v>
      </c>
      <c r="AA226" s="144"/>
      <c r="AB226" s="140"/>
      <c r="AC226" s="103" t="s">
        <v>416</v>
      </c>
      <c r="AD226" s="140"/>
    </row>
    <row r="227" spans="1:30" ht="14.2" customHeight="1" x14ac:dyDescent="0.25">
      <c r="A227" s="167" t="s">
        <v>173</v>
      </c>
      <c r="B227" s="145"/>
      <c r="C227" s="364"/>
      <c r="D227" s="157"/>
      <c r="E227" s="383"/>
      <c r="F227" s="131"/>
      <c r="G227" s="383"/>
      <c r="H227" s="132">
        <v>0.12</v>
      </c>
      <c r="I227" s="129"/>
      <c r="J227" s="364"/>
      <c r="K227" s="157">
        <f t="shared" ref="K227:K231" si="211">M227*3600*1000/760*1.013*10^5*10^-12</f>
        <v>1.3915421052631578E-4</v>
      </c>
      <c r="L227" s="382">
        <v>90</v>
      </c>
      <c r="M227" s="133">
        <v>0.28999999999999998</v>
      </c>
      <c r="N227" s="383">
        <v>51</v>
      </c>
      <c r="O227" s="149"/>
      <c r="P227" s="428"/>
      <c r="Q227" s="185"/>
      <c r="R227" s="428"/>
      <c r="S227" s="185">
        <v>850</v>
      </c>
      <c r="T227" s="428">
        <v>51</v>
      </c>
      <c r="U227" s="135"/>
      <c r="V227" s="428"/>
      <c r="W227" s="136">
        <f t="shared" si="194"/>
        <v>0</v>
      </c>
      <c r="X227" s="137"/>
      <c r="Y227" s="138">
        <f t="shared" si="208"/>
        <v>227.92463155983674</v>
      </c>
      <c r="Z227" s="138">
        <f t="shared" si="209"/>
        <v>2.7350955787180407E-2</v>
      </c>
      <c r="AA227" s="144"/>
      <c r="AB227" s="140"/>
      <c r="AC227" s="140" t="str">
        <f t="shared" ref="AC227:AC232" si="212">VLOOKUP(N227,$B$399:$C$431,2,FALSE)</f>
        <v>「建物の結露」学芸出版社 (2003/04)</v>
      </c>
      <c r="AD227" s="140"/>
    </row>
    <row r="228" spans="1:30" ht="14.2" customHeight="1" x14ac:dyDescent="0.25">
      <c r="A228" s="167" t="s">
        <v>177</v>
      </c>
      <c r="B228" s="145"/>
      <c r="C228" s="364"/>
      <c r="D228" s="157"/>
      <c r="E228" s="383"/>
      <c r="F228" s="131"/>
      <c r="G228" s="383"/>
      <c r="H228" s="132">
        <v>0.09</v>
      </c>
      <c r="I228" s="129"/>
      <c r="J228" s="364"/>
      <c r="K228" s="157">
        <f t="shared" si="211"/>
        <v>4.0786578947368418E-5</v>
      </c>
      <c r="L228" s="382">
        <v>90</v>
      </c>
      <c r="M228" s="133">
        <v>8.5000000000000006E-2</v>
      </c>
      <c r="N228" s="383">
        <v>50</v>
      </c>
      <c r="O228" s="149"/>
      <c r="P228" s="428"/>
      <c r="Q228" s="185"/>
      <c r="R228" s="428"/>
      <c r="S228" s="185">
        <v>327</v>
      </c>
      <c r="T228" s="428">
        <v>51</v>
      </c>
      <c r="U228" s="135"/>
      <c r="V228" s="428"/>
      <c r="W228" s="136">
        <f t="shared" si="194"/>
        <v>0</v>
      </c>
      <c r="X228" s="137"/>
      <c r="Y228" s="138">
        <f t="shared" si="208"/>
        <v>89.073993942924687</v>
      </c>
      <c r="Z228" s="138">
        <f t="shared" si="209"/>
        <v>8.0166594548632206E-3</v>
      </c>
      <c r="AA228" s="144"/>
      <c r="AB228" s="140"/>
      <c r="AC228" s="140" t="str">
        <f t="shared" si="212"/>
        <v>「建築の結露」井上書院</v>
      </c>
      <c r="AD228" s="140"/>
    </row>
    <row r="229" spans="1:30" ht="14.2" customHeight="1" x14ac:dyDescent="0.25">
      <c r="A229" s="167" t="s">
        <v>178</v>
      </c>
      <c r="B229" s="145"/>
      <c r="C229" s="364"/>
      <c r="D229" s="157"/>
      <c r="E229" s="383"/>
      <c r="F229" s="131"/>
      <c r="G229" s="383"/>
      <c r="H229" s="132">
        <v>0.12</v>
      </c>
      <c r="I229" s="129"/>
      <c r="J229" s="364"/>
      <c r="K229" s="157">
        <f t="shared" si="211"/>
        <v>4.3665631578947354E-5</v>
      </c>
      <c r="L229" s="382">
        <v>90</v>
      </c>
      <c r="M229" s="133">
        <v>9.0999999999999998E-2</v>
      </c>
      <c r="N229" s="383">
        <v>51</v>
      </c>
      <c r="O229" s="149"/>
      <c r="P229" s="428"/>
      <c r="Q229" s="185"/>
      <c r="R229" s="428"/>
      <c r="S229" s="185">
        <v>340</v>
      </c>
      <c r="T229" s="428">
        <v>51</v>
      </c>
      <c r="U229" s="135"/>
      <c r="V229" s="428"/>
      <c r="W229" s="136">
        <f t="shared" si="194"/>
        <v>0</v>
      </c>
      <c r="X229" s="137"/>
      <c r="Y229" s="138">
        <f t="shared" si="208"/>
        <v>71.521177489465984</v>
      </c>
      <c r="Z229" s="138">
        <f t="shared" si="209"/>
        <v>8.582541298735917E-3</v>
      </c>
      <c r="AA229" s="144"/>
      <c r="AB229" s="140"/>
      <c r="AC229" s="140" t="str">
        <f t="shared" si="212"/>
        <v>「建物の結露」学芸出版社 (2003/04)</v>
      </c>
      <c r="AD229" s="140"/>
    </row>
    <row r="230" spans="1:30" ht="14.2" customHeight="1" x14ac:dyDescent="0.25">
      <c r="A230" s="167" t="s">
        <v>179</v>
      </c>
      <c r="B230" s="145"/>
      <c r="C230" s="364"/>
      <c r="D230" s="157"/>
      <c r="E230" s="383"/>
      <c r="F230" s="131"/>
      <c r="G230" s="383"/>
      <c r="H230" s="132">
        <v>0.05</v>
      </c>
      <c r="I230" s="129"/>
      <c r="J230" s="364"/>
      <c r="K230" s="157">
        <f t="shared" si="211"/>
        <v>3.7427684210526309E-5</v>
      </c>
      <c r="L230" s="382">
        <v>90</v>
      </c>
      <c r="M230" s="133">
        <v>7.8E-2</v>
      </c>
      <c r="N230" s="383">
        <v>51</v>
      </c>
      <c r="O230" s="149"/>
      <c r="P230" s="428"/>
      <c r="Q230" s="185"/>
      <c r="R230" s="428"/>
      <c r="S230" s="185">
        <v>360</v>
      </c>
      <c r="T230" s="428">
        <v>51</v>
      </c>
      <c r="U230" s="135"/>
      <c r="V230" s="428"/>
      <c r="W230" s="136">
        <f t="shared" si="194"/>
        <v>0</v>
      </c>
      <c r="X230" s="137"/>
      <c r="Y230" s="138">
        <f t="shared" si="208"/>
        <v>147.12927940690145</v>
      </c>
      <c r="Z230" s="138">
        <f t="shared" si="209"/>
        <v>7.3564639703450722E-3</v>
      </c>
      <c r="AA230" s="144"/>
      <c r="AB230" s="140"/>
      <c r="AC230" s="140" t="str">
        <f t="shared" si="212"/>
        <v>「建物の結露」学芸出版社 (2003/04)</v>
      </c>
      <c r="AD230" s="140"/>
    </row>
    <row r="231" spans="1:30" ht="14.2" customHeight="1" x14ac:dyDescent="0.25">
      <c r="A231" s="167" t="s">
        <v>180</v>
      </c>
      <c r="B231" s="145">
        <v>0.17399999999999999</v>
      </c>
      <c r="C231" s="364">
        <v>51</v>
      </c>
      <c r="D231" s="157"/>
      <c r="E231" s="383"/>
      <c r="F231" s="131"/>
      <c r="G231" s="383"/>
      <c r="H231" s="132"/>
      <c r="I231" s="129"/>
      <c r="J231" s="364"/>
      <c r="K231" s="157">
        <f t="shared" si="211"/>
        <v>1.0556526315789474E-4</v>
      </c>
      <c r="L231" s="382">
        <v>90</v>
      </c>
      <c r="M231" s="133">
        <v>0.22</v>
      </c>
      <c r="N231" s="383">
        <v>51</v>
      </c>
      <c r="O231" s="149"/>
      <c r="P231" s="428"/>
      <c r="Q231" s="185"/>
      <c r="R231" s="428"/>
      <c r="S231" s="185"/>
      <c r="T231" s="428"/>
      <c r="U231" s="135"/>
      <c r="V231" s="428"/>
      <c r="W231" s="136">
        <f t="shared" si="194"/>
        <v>0</v>
      </c>
      <c r="X231" s="137"/>
      <c r="Y231" s="138"/>
      <c r="Z231" s="138"/>
      <c r="AA231" s="144"/>
      <c r="AB231" s="140"/>
      <c r="AC231" s="140" t="str">
        <f t="shared" si="212"/>
        <v>「建物の結露」学芸出版社 (2003/04)</v>
      </c>
      <c r="AD231" s="140"/>
    </row>
    <row r="232" spans="1:30" ht="14.2" customHeight="1" x14ac:dyDescent="0.25">
      <c r="A232" s="167" t="s">
        <v>181</v>
      </c>
      <c r="B232" s="145"/>
      <c r="C232" s="364"/>
      <c r="D232" s="157"/>
      <c r="E232" s="383"/>
      <c r="F232" s="131"/>
      <c r="G232" s="383"/>
      <c r="H232" s="132"/>
      <c r="I232" s="129"/>
      <c r="J232" s="364"/>
      <c r="K232" s="157">
        <f t="shared" ref="K232" si="213">M232*3600*1000/760*1.013*10^5*10^-12</f>
        <v>2.3992105263157894E-2</v>
      </c>
      <c r="L232" s="382">
        <v>90</v>
      </c>
      <c r="M232" s="133">
        <v>50</v>
      </c>
      <c r="N232" s="383">
        <v>31</v>
      </c>
      <c r="O232" s="149"/>
      <c r="P232" s="428"/>
      <c r="Q232" s="185"/>
      <c r="R232" s="428"/>
      <c r="S232" s="185"/>
      <c r="T232" s="428"/>
      <c r="U232" s="135"/>
      <c r="V232" s="428"/>
      <c r="W232" s="136">
        <f t="shared" si="194"/>
        <v>0</v>
      </c>
      <c r="X232" s="137"/>
      <c r="Y232" s="138"/>
      <c r="Z232" s="138"/>
      <c r="AA232" s="144"/>
      <c r="AB232" s="140"/>
      <c r="AC232" s="140" t="str">
        <f t="shared" si="212"/>
        <v>「結露防止ガイドブック」IBEC</v>
      </c>
      <c r="AD232" s="140"/>
    </row>
    <row r="233" spans="1:30" ht="14.2" customHeight="1" x14ac:dyDescent="0.25">
      <c r="A233" s="128" t="s">
        <v>182</v>
      </c>
      <c r="B233" s="145">
        <v>7.0000000000000007E-2</v>
      </c>
      <c r="C233" s="364">
        <v>63</v>
      </c>
      <c r="D233" s="157">
        <f t="shared" ref="D233:D236" si="214">F233*3600*10^-9/760*1.013*10^5</f>
        <v>0.15994576894736845</v>
      </c>
      <c r="E233" s="383">
        <v>90</v>
      </c>
      <c r="F233" s="131">
        <v>333.33</v>
      </c>
      <c r="G233" s="383">
        <v>63</v>
      </c>
      <c r="H233" s="132">
        <v>60</v>
      </c>
      <c r="I233" s="129"/>
      <c r="J233" s="364"/>
      <c r="K233" s="157">
        <f t="shared" ref="K233" si="215">D233*H233/1000</f>
        <v>9.5967461368421068E-3</v>
      </c>
      <c r="L233" s="382">
        <v>90</v>
      </c>
      <c r="M233" s="133">
        <f t="shared" ref="M233" si="216">F233*H233/1000</f>
        <v>19.9998</v>
      </c>
      <c r="N233" s="383">
        <v>90</v>
      </c>
      <c r="O233" s="149">
        <v>260</v>
      </c>
      <c r="P233" s="428">
        <v>62</v>
      </c>
      <c r="Q233" s="135"/>
      <c r="R233" s="428"/>
      <c r="S233" s="135"/>
      <c r="T233" s="428"/>
      <c r="U233" s="135">
        <f>((B233/O233)/($B$194/$O$194))*0.2</f>
        <v>6.7307692307692318E-2</v>
      </c>
      <c r="V233" s="428">
        <v>90</v>
      </c>
      <c r="W233" s="136">
        <f t="shared" si="194"/>
        <v>134.90737563232042</v>
      </c>
      <c r="X233" s="137">
        <f t="shared" si="207"/>
        <v>2.692307692307693</v>
      </c>
      <c r="Y233" s="138">
        <f t="shared" si="208"/>
        <v>31.437565836347744</v>
      </c>
      <c r="Z233" s="138">
        <f t="shared" si="209"/>
        <v>1.8862539501808646</v>
      </c>
      <c r="AA233" s="144"/>
      <c r="AB233" s="140"/>
      <c r="AC233" s="140" t="str">
        <f>VLOOKUP(G233,$B$399:$C$431,2,FALSE)</f>
        <v>WinDEWマニュアル</v>
      </c>
      <c r="AD233" s="140" t="str">
        <f>VLOOKUP(P233,$B$399:$C$431,2,FALSE)</f>
        <v>SolarDesigner6マニュアル</v>
      </c>
    </row>
    <row r="234" spans="1:30" ht="14.2" customHeight="1" x14ac:dyDescent="0.25">
      <c r="A234" s="128" t="s">
        <v>159</v>
      </c>
      <c r="B234" s="145">
        <v>5.8000000000000003E-2</v>
      </c>
      <c r="C234" s="364">
        <v>22</v>
      </c>
      <c r="D234" s="157"/>
      <c r="E234" s="383"/>
      <c r="F234" s="131"/>
      <c r="G234" s="383"/>
      <c r="H234" s="132"/>
      <c r="I234" s="129"/>
      <c r="J234" s="369"/>
      <c r="K234" s="157">
        <f t="shared" ref="K234" si="217">M234*3600*1000/760*1.013*10^5*10^-12</f>
        <v>2.255257894736842E-2</v>
      </c>
      <c r="L234" s="382">
        <v>90</v>
      </c>
      <c r="M234" s="133">
        <v>47</v>
      </c>
      <c r="N234" s="386">
        <v>22</v>
      </c>
      <c r="O234" s="134">
        <v>318</v>
      </c>
      <c r="P234" s="428">
        <v>21</v>
      </c>
      <c r="Q234" s="135"/>
      <c r="R234" s="428"/>
      <c r="S234" s="135"/>
      <c r="T234" s="428"/>
      <c r="U234" s="135">
        <v>0.01</v>
      </c>
      <c r="V234" s="428">
        <v>90</v>
      </c>
      <c r="W234" s="136">
        <f t="shared" si="194"/>
        <v>135.80868897091969</v>
      </c>
      <c r="X234" s="137">
        <f t="shared" si="207"/>
        <v>1.8238993710691824</v>
      </c>
      <c r="Y234" s="138"/>
      <c r="Z234" s="138"/>
      <c r="AA234" s="144"/>
      <c r="AB234" s="140"/>
      <c r="AC234" s="140" t="str">
        <f>VLOOKUP(N234,$B$399:$C$431,2,FALSE)</f>
        <v>「H11年省エネ基準解説」IBEC</v>
      </c>
      <c r="AD234" s="140" t="str">
        <f>VLOOKUP(P234,$B$399:$C$431,2,FALSE)</f>
        <v>「H25年省エネ基準解説」IBEC</v>
      </c>
    </row>
    <row r="235" spans="1:30" ht="14.2" customHeight="1" x14ac:dyDescent="0.25">
      <c r="A235" s="128" t="s">
        <v>160</v>
      </c>
      <c r="B235" s="145">
        <v>0.39500000000000002</v>
      </c>
      <c r="C235" s="364">
        <v>50</v>
      </c>
      <c r="D235" s="157"/>
      <c r="E235" s="383"/>
      <c r="F235" s="131"/>
      <c r="G235" s="383"/>
      <c r="H235" s="132">
        <v>5</v>
      </c>
      <c r="I235" s="129">
        <f t="shared" ref="I235:I236" si="218">H235/B235/1000</f>
        <v>1.2658227848101266E-2</v>
      </c>
      <c r="J235" s="364">
        <v>90</v>
      </c>
      <c r="K235" s="157"/>
      <c r="L235" s="414"/>
      <c r="M235" s="133"/>
      <c r="N235" s="386"/>
      <c r="O235" s="149">
        <v>1390</v>
      </c>
      <c r="P235" s="428">
        <v>21</v>
      </c>
      <c r="Q235" s="135">
        <f>O235/S235</f>
        <v>0.7808988764044944</v>
      </c>
      <c r="R235" s="428">
        <v>90</v>
      </c>
      <c r="S235" s="185">
        <v>1780</v>
      </c>
      <c r="T235" s="428">
        <v>50</v>
      </c>
      <c r="U235" s="185">
        <v>0.11</v>
      </c>
      <c r="V235" s="428">
        <v>90</v>
      </c>
      <c r="W235" s="136">
        <f t="shared" si="194"/>
        <v>740.97908202593692</v>
      </c>
      <c r="X235" s="137">
        <f t="shared" si="207"/>
        <v>2.8417266187050361</v>
      </c>
      <c r="Y235" s="138">
        <f t="shared" si="208"/>
        <v>0</v>
      </c>
      <c r="Z235" s="138">
        <f t="shared" si="209"/>
        <v>0</v>
      </c>
      <c r="AA235" s="144"/>
      <c r="AB235" s="140" t="str">
        <f>VLOOKUP(C235,$B$399:$C$431,2,FALSE)</f>
        <v>「建築の結露」井上書院</v>
      </c>
      <c r="AC235" s="140"/>
      <c r="AD235" s="140" t="str">
        <f>VLOOKUP(P235,$B$399:$C$431,2,FALSE)</f>
        <v>「H25年省エネ基準解説」IBEC</v>
      </c>
    </row>
    <row r="236" spans="1:30" ht="14.2" customHeight="1" x14ac:dyDescent="0.25">
      <c r="A236" s="128" t="s">
        <v>161</v>
      </c>
      <c r="B236" s="145">
        <v>0.186</v>
      </c>
      <c r="C236" s="364">
        <v>50</v>
      </c>
      <c r="D236" s="157">
        <f t="shared" si="214"/>
        <v>1.1996052631578947E-2</v>
      </c>
      <c r="E236" s="383">
        <v>90</v>
      </c>
      <c r="F236" s="131">
        <v>25</v>
      </c>
      <c r="G236" s="383">
        <v>63</v>
      </c>
      <c r="H236" s="132">
        <v>5</v>
      </c>
      <c r="I236" s="129">
        <f t="shared" si="218"/>
        <v>2.6881720430107527E-2</v>
      </c>
      <c r="J236" s="364">
        <v>90</v>
      </c>
      <c r="K236" s="157">
        <f t="shared" ref="K236" si="219">D236*H236/1000</f>
        <v>5.9980263157894739E-5</v>
      </c>
      <c r="L236" s="382">
        <v>90</v>
      </c>
      <c r="M236" s="133">
        <f t="shared" ref="M236" si="220">F236*H236/1000</f>
        <v>0.125</v>
      </c>
      <c r="N236" s="383">
        <v>90</v>
      </c>
      <c r="O236" s="134">
        <v>1800</v>
      </c>
      <c r="P236" s="428">
        <v>62</v>
      </c>
      <c r="Q236" s="135">
        <f>O236/S236</f>
        <v>1.5126050420168067</v>
      </c>
      <c r="R236" s="428">
        <v>90</v>
      </c>
      <c r="S236" s="135">
        <v>1190</v>
      </c>
      <c r="T236" s="428">
        <v>50</v>
      </c>
      <c r="U236" s="135">
        <v>0.15</v>
      </c>
      <c r="V236" s="428">
        <v>90</v>
      </c>
      <c r="W236" s="136">
        <f t="shared" si="194"/>
        <v>578.6190456595773</v>
      </c>
      <c r="X236" s="137">
        <f t="shared" si="207"/>
        <v>1.0333333333333332</v>
      </c>
      <c r="Y236" s="138">
        <f t="shared" si="208"/>
        <v>2.3578410161362418</v>
      </c>
      <c r="Z236" s="138">
        <f t="shared" si="209"/>
        <v>1.1789205080681209E-2</v>
      </c>
      <c r="AA236" s="143"/>
      <c r="AB236" s="140" t="str">
        <f>VLOOKUP(C236,$B$399:$C$431,2,FALSE)</f>
        <v>「建築の結露」井上書院</v>
      </c>
      <c r="AC236" s="140" t="str">
        <f>VLOOKUP(G236,$B$399:$C$431,2,FALSE)</f>
        <v>WinDEWマニュアル</v>
      </c>
      <c r="AD236" s="140" t="str">
        <f>VLOOKUP(P236,$B$399:$C$431,2,FALSE)</f>
        <v>SolarDesigner6マニュアル</v>
      </c>
    </row>
    <row r="237" spans="1:30" ht="14.2" customHeight="1" x14ac:dyDescent="0.25">
      <c r="A237" s="193" t="s">
        <v>527</v>
      </c>
      <c r="B237" s="148"/>
      <c r="C237" s="365"/>
      <c r="D237" s="157"/>
      <c r="E237" s="383"/>
      <c r="F237" s="206"/>
      <c r="G237" s="384"/>
      <c r="H237" s="195">
        <v>39</v>
      </c>
      <c r="I237" s="129">
        <v>0.73499999999999999</v>
      </c>
      <c r="J237" s="365">
        <v>71</v>
      </c>
      <c r="K237" s="207"/>
      <c r="L237" s="384"/>
      <c r="M237" s="205"/>
      <c r="N237" s="415"/>
      <c r="O237" s="159"/>
      <c r="P237" s="429"/>
      <c r="Q237" s="159"/>
      <c r="R237" s="429"/>
      <c r="S237" s="159"/>
      <c r="T237" s="429"/>
      <c r="U237" s="159"/>
      <c r="V237" s="429"/>
      <c r="W237" s="136">
        <f t="shared" si="194"/>
        <v>0</v>
      </c>
      <c r="X237" s="137"/>
      <c r="Y237" s="138"/>
      <c r="Z237" s="138"/>
      <c r="AA237" s="150" t="s">
        <v>547</v>
      </c>
      <c r="AB237" s="140" t="str">
        <f>VLOOKUP(J237,$B$399:$C$431,2,FALSE)</f>
        <v>メーカー公表値</v>
      </c>
      <c r="AC237" s="140"/>
      <c r="AD237" s="140"/>
    </row>
    <row r="238" spans="1:30" ht="14.2" customHeight="1" x14ac:dyDescent="0.25">
      <c r="A238" s="193" t="s">
        <v>546</v>
      </c>
      <c r="B238" s="148"/>
      <c r="C238" s="365"/>
      <c r="D238" s="157"/>
      <c r="E238" s="383"/>
      <c r="F238" s="194"/>
      <c r="G238" s="384"/>
      <c r="H238" s="195">
        <v>39</v>
      </c>
      <c r="I238" s="129">
        <v>0.46100000000000002</v>
      </c>
      <c r="J238" s="365">
        <v>71</v>
      </c>
      <c r="K238" s="207"/>
      <c r="L238" s="384"/>
      <c r="M238" s="205"/>
      <c r="N238" s="415"/>
      <c r="O238" s="159"/>
      <c r="P238" s="429"/>
      <c r="Q238" s="159"/>
      <c r="R238" s="429"/>
      <c r="S238" s="159"/>
      <c r="T238" s="429"/>
      <c r="U238" s="159"/>
      <c r="V238" s="429"/>
      <c r="W238" s="136">
        <f t="shared" si="194"/>
        <v>0</v>
      </c>
      <c r="X238" s="137"/>
      <c r="Y238" s="138"/>
      <c r="Z238" s="138"/>
      <c r="AA238" s="150" t="s">
        <v>548</v>
      </c>
      <c r="AB238" s="140" t="str">
        <f>VLOOKUP(J238,$B$399:$C$431,2,FALSE)</f>
        <v>メーカー公表値</v>
      </c>
      <c r="AC238" s="140"/>
      <c r="AD238" s="140"/>
    </row>
    <row r="239" spans="1:30" ht="14.2" customHeight="1" thickBot="1" x14ac:dyDescent="0.3">
      <c r="A239" s="208" t="s">
        <v>372</v>
      </c>
      <c r="B239" s="209"/>
      <c r="C239" s="370"/>
      <c r="D239" s="210"/>
      <c r="E239" s="390"/>
      <c r="F239" s="211"/>
      <c r="G239" s="389"/>
      <c r="H239" s="212">
        <v>30</v>
      </c>
      <c r="I239" s="209">
        <v>0.56499999999999995</v>
      </c>
      <c r="J239" s="370">
        <v>71</v>
      </c>
      <c r="K239" s="213"/>
      <c r="L239" s="389"/>
      <c r="M239" s="214"/>
      <c r="N239" s="425"/>
      <c r="O239" s="215"/>
      <c r="P239" s="435"/>
      <c r="Q239" s="215"/>
      <c r="R239" s="435"/>
      <c r="S239" s="215"/>
      <c r="T239" s="435"/>
      <c r="U239" s="215"/>
      <c r="V239" s="435"/>
      <c r="W239" s="136">
        <f t="shared" si="194"/>
        <v>0</v>
      </c>
      <c r="X239" s="137"/>
      <c r="Y239" s="138"/>
      <c r="Z239" s="138"/>
      <c r="AA239" s="150" t="s">
        <v>549</v>
      </c>
      <c r="AB239" s="140" t="str">
        <f>VLOOKUP(J239,$B$399:$C$431,2,FALSE)</f>
        <v>メーカー公表値</v>
      </c>
      <c r="AC239" s="140"/>
      <c r="AD239" s="140"/>
    </row>
    <row r="240" spans="1:30" ht="21" customHeight="1" thickTop="1" x14ac:dyDescent="0.25">
      <c r="A240" s="161" t="s">
        <v>351</v>
      </c>
      <c r="B240" s="162"/>
      <c r="C240" s="366"/>
      <c r="D240" s="163"/>
      <c r="E240" s="366"/>
      <c r="F240" s="162"/>
      <c r="G240" s="366"/>
      <c r="H240" s="162"/>
      <c r="I240" s="162"/>
      <c r="J240" s="366"/>
      <c r="K240" s="163"/>
      <c r="L240" s="366"/>
      <c r="M240" s="162"/>
      <c r="N240" s="366"/>
      <c r="O240" s="162"/>
      <c r="P240" s="366"/>
      <c r="Q240" s="162"/>
      <c r="R240" s="366"/>
      <c r="S240" s="162"/>
      <c r="T240" s="366"/>
      <c r="U240" s="162"/>
      <c r="V240" s="366"/>
      <c r="W240" s="164"/>
      <c r="X240" s="164"/>
      <c r="Y240" s="165"/>
      <c r="Z240" s="165"/>
      <c r="AA240" s="166"/>
    </row>
    <row r="241" spans="1:31" ht="14.2" customHeight="1" x14ac:dyDescent="0.25">
      <c r="A241" s="167" t="s">
        <v>94</v>
      </c>
      <c r="B241" s="145">
        <v>55</v>
      </c>
      <c r="C241" s="364">
        <v>10</v>
      </c>
      <c r="D241" s="130">
        <f t="shared" ref="D241" si="221">F241*3600*10^-9/760*1.013*10^5</f>
        <v>479842.10478331579</v>
      </c>
      <c r="E241" s="387">
        <v>90</v>
      </c>
      <c r="F241" s="216">
        <v>999999999</v>
      </c>
      <c r="G241" s="383">
        <v>99</v>
      </c>
      <c r="H241" s="132">
        <v>100</v>
      </c>
      <c r="I241" s="129">
        <f>H241/B241/1000</f>
        <v>1.8181818181818182E-3</v>
      </c>
      <c r="J241" s="364">
        <v>11</v>
      </c>
      <c r="K241" s="130">
        <f>D241*H241/1000</f>
        <v>47984.210478331581</v>
      </c>
      <c r="L241" s="382">
        <v>90</v>
      </c>
      <c r="M241" s="217">
        <f>F241*H241/1000</f>
        <v>99999999.900000006</v>
      </c>
      <c r="N241" s="383">
        <v>90</v>
      </c>
      <c r="O241" s="134">
        <v>3600</v>
      </c>
      <c r="P241" s="428">
        <v>11</v>
      </c>
      <c r="Q241" s="135">
        <f>O241/S241</f>
        <v>0.45977011494252873</v>
      </c>
      <c r="R241" s="428">
        <v>90</v>
      </c>
      <c r="S241" s="135">
        <v>7830</v>
      </c>
      <c r="T241" s="428">
        <v>22</v>
      </c>
      <c r="U241" s="135">
        <v>99999</v>
      </c>
      <c r="V241" s="428">
        <v>11</v>
      </c>
      <c r="W241" s="136">
        <f t="shared" ref="W241:W245" si="222">SQRT(B241*O241*1000)</f>
        <v>14071.247279470288</v>
      </c>
      <c r="X241" s="137">
        <f t="shared" si="207"/>
        <v>152.77777777777777</v>
      </c>
      <c r="Y241" s="138">
        <f t="shared" ref="Y241:Y245" si="223">K241/(H241/1000)*((2*10^-7*(20+273)^0.81/101325)*10^12)</f>
        <v>94313640.551136032</v>
      </c>
      <c r="Z241" s="138">
        <f t="shared" ref="Z241:Z245" si="224">Y241*(H241/1000)</f>
        <v>9431364.0551136043</v>
      </c>
      <c r="AA241" s="144"/>
      <c r="AB241" s="140" t="str">
        <f>VLOOKUP(C241,$B$399:$C$431,2,FALSE)</f>
        <v>H28年建築物省エネルギー法</v>
      </c>
      <c r="AC241" s="140" t="str">
        <f>VLOOKUP(G241,$B$399:$C$431,2,FALSE)</f>
        <v>推測値</v>
      </c>
      <c r="AD241" s="103" t="s">
        <v>410</v>
      </c>
      <c r="AE241" s="103" t="s">
        <v>376</v>
      </c>
    </row>
    <row r="242" spans="1:31" ht="14.2" customHeight="1" x14ac:dyDescent="0.25">
      <c r="A242" s="167" t="s">
        <v>93</v>
      </c>
      <c r="B242" s="145">
        <v>210</v>
      </c>
      <c r="C242" s="364">
        <v>10</v>
      </c>
      <c r="D242" s="157">
        <f>F242*3600*10^-9/760*1.013*10^5</f>
        <v>479842.10478331579</v>
      </c>
      <c r="E242" s="383">
        <v>90</v>
      </c>
      <c r="F242" s="216">
        <v>999999999</v>
      </c>
      <c r="G242" s="383">
        <v>99</v>
      </c>
      <c r="H242" s="132">
        <v>100</v>
      </c>
      <c r="I242" s="129">
        <f>H242/B242/1000</f>
        <v>4.7619047619047619E-4</v>
      </c>
      <c r="J242" s="364">
        <v>11</v>
      </c>
      <c r="K242" s="157">
        <f>D242*H242/1000</f>
        <v>47984.210478331581</v>
      </c>
      <c r="L242" s="382">
        <v>90</v>
      </c>
      <c r="M242" s="217">
        <f>F242*H242/1000</f>
        <v>99999999.900000006</v>
      </c>
      <c r="N242" s="383">
        <v>90</v>
      </c>
      <c r="O242" s="134">
        <v>2400</v>
      </c>
      <c r="P242" s="428">
        <v>11</v>
      </c>
      <c r="Q242" s="135">
        <f>O242/S242</f>
        <v>0.88888888888888884</v>
      </c>
      <c r="R242" s="428">
        <v>90</v>
      </c>
      <c r="S242" s="135">
        <v>2700</v>
      </c>
      <c r="T242" s="428">
        <v>22</v>
      </c>
      <c r="U242" s="135">
        <v>99999</v>
      </c>
      <c r="V242" s="428">
        <v>11</v>
      </c>
      <c r="W242" s="136">
        <f t="shared" si="222"/>
        <v>22449.944320643648</v>
      </c>
      <c r="X242" s="137">
        <f t="shared" si="207"/>
        <v>875</v>
      </c>
      <c r="Y242" s="138">
        <f t="shared" si="223"/>
        <v>94313640.551136032</v>
      </c>
      <c r="Z242" s="138">
        <f t="shared" si="224"/>
        <v>9431364.0551136043</v>
      </c>
      <c r="AA242" s="144"/>
      <c r="AB242" s="140" t="str">
        <f>VLOOKUP(C242,$B$399:$C$431,2,FALSE)</f>
        <v>H28年建築物省エネルギー法</v>
      </c>
      <c r="AC242" s="140" t="str">
        <f>VLOOKUP(G242,$B$399:$C$431,2,FALSE)</f>
        <v>推測値</v>
      </c>
      <c r="AD242" s="103" t="s">
        <v>410</v>
      </c>
      <c r="AE242" s="103" t="s">
        <v>377</v>
      </c>
    </row>
    <row r="243" spans="1:31" ht="14.2" customHeight="1" x14ac:dyDescent="0.25">
      <c r="A243" s="177" t="s">
        <v>138</v>
      </c>
      <c r="B243" s="145">
        <v>370</v>
      </c>
      <c r="C243" s="364">
        <v>10</v>
      </c>
      <c r="D243" s="157">
        <f t="shared" ref="D243:D245" si="225">F243*3600*10^-9/760*1.013*10^5</f>
        <v>479842.10478331579</v>
      </c>
      <c r="E243" s="383">
        <v>90</v>
      </c>
      <c r="F243" s="216">
        <v>999999999</v>
      </c>
      <c r="G243" s="383">
        <v>99</v>
      </c>
      <c r="H243" s="132">
        <v>100</v>
      </c>
      <c r="I243" s="129">
        <f>H243/B243/1000</f>
        <v>2.7027027027027027E-4</v>
      </c>
      <c r="J243" s="364">
        <v>11</v>
      </c>
      <c r="K243" s="157">
        <f>D243*H243/1000</f>
        <v>47984.210478331581</v>
      </c>
      <c r="L243" s="382">
        <v>90</v>
      </c>
      <c r="M243" s="217">
        <f>F243*H243/1000</f>
        <v>99999999.900000006</v>
      </c>
      <c r="N243" s="383">
        <v>90</v>
      </c>
      <c r="O243" s="134">
        <v>3200</v>
      </c>
      <c r="P243" s="428">
        <v>11</v>
      </c>
      <c r="Q243" s="135">
        <f>O243/S243</f>
        <v>0.38554216867469882</v>
      </c>
      <c r="R243" s="428">
        <v>90</v>
      </c>
      <c r="S243" s="135">
        <v>8300</v>
      </c>
      <c r="T243" s="428">
        <v>22</v>
      </c>
      <c r="U243" s="135">
        <v>99999</v>
      </c>
      <c r="V243" s="428">
        <v>11</v>
      </c>
      <c r="W243" s="136">
        <f t="shared" si="222"/>
        <v>34409.301068170505</v>
      </c>
      <c r="X243" s="137">
        <f t="shared" si="207"/>
        <v>1156.25</v>
      </c>
      <c r="Y243" s="138">
        <f t="shared" si="223"/>
        <v>94313640.551136032</v>
      </c>
      <c r="Z243" s="138">
        <f t="shared" si="224"/>
        <v>9431364.0551136043</v>
      </c>
      <c r="AA243" s="144"/>
      <c r="AB243" s="140" t="str">
        <f>VLOOKUP(C243,$B$399:$C$431,2,FALSE)</f>
        <v>H28年建築物省エネルギー法</v>
      </c>
      <c r="AC243" s="140" t="str">
        <f>VLOOKUP(G243,$B$399:$C$431,2,FALSE)</f>
        <v>推測値</v>
      </c>
      <c r="AD243" s="103" t="s">
        <v>410</v>
      </c>
      <c r="AE243" s="103" t="s">
        <v>376</v>
      </c>
    </row>
    <row r="244" spans="1:31" ht="14.2" customHeight="1" x14ac:dyDescent="0.25">
      <c r="A244" s="218" t="s">
        <v>140</v>
      </c>
      <c r="B244" s="145">
        <v>15</v>
      </c>
      <c r="C244" s="364">
        <v>10</v>
      </c>
      <c r="D244" s="157">
        <f t="shared" ref="D244" si="226">F244*3600*10^-9/760*1.013*10^5</f>
        <v>479842.10478331579</v>
      </c>
      <c r="E244" s="383">
        <v>90</v>
      </c>
      <c r="F244" s="216">
        <v>999999999</v>
      </c>
      <c r="G244" s="383">
        <v>99</v>
      </c>
      <c r="H244" s="132">
        <v>100</v>
      </c>
      <c r="I244" s="129">
        <f>H244/B244/1000</f>
        <v>6.6666666666666671E-3</v>
      </c>
      <c r="J244" s="364">
        <v>11</v>
      </c>
      <c r="K244" s="157">
        <f>D244*H244/1000</f>
        <v>47984.210478331581</v>
      </c>
      <c r="L244" s="382">
        <v>90</v>
      </c>
      <c r="M244" s="217">
        <f>F244*H244/1000</f>
        <v>99999999.900000006</v>
      </c>
      <c r="N244" s="383">
        <v>90</v>
      </c>
      <c r="O244" s="134">
        <v>3500</v>
      </c>
      <c r="P244" s="428">
        <v>11</v>
      </c>
      <c r="Q244" s="135">
        <f>O244/S244</f>
        <v>0.47297297297297297</v>
      </c>
      <c r="R244" s="428">
        <v>90</v>
      </c>
      <c r="S244" s="135">
        <v>7400</v>
      </c>
      <c r="T244" s="428">
        <v>22</v>
      </c>
      <c r="U244" s="135">
        <v>99999</v>
      </c>
      <c r="V244" s="428">
        <v>11</v>
      </c>
      <c r="W244" s="136">
        <f t="shared" si="222"/>
        <v>7245.6883730947193</v>
      </c>
      <c r="X244" s="137">
        <f t="shared" si="207"/>
        <v>42.857142857142861</v>
      </c>
      <c r="Y244" s="138">
        <f t="shared" si="223"/>
        <v>94313640.551136032</v>
      </c>
      <c r="Z244" s="138">
        <f t="shared" si="224"/>
        <v>9431364.0551136043</v>
      </c>
      <c r="AA244" s="144"/>
      <c r="AB244" s="140" t="str">
        <f>VLOOKUP(C244,$B$399:$C$431,2,FALSE)</f>
        <v>H28年建築物省エネルギー法</v>
      </c>
      <c r="AC244" s="140" t="str">
        <f>VLOOKUP(G244,$B$399:$C$431,2,FALSE)</f>
        <v>推測値</v>
      </c>
      <c r="AD244" s="103" t="s">
        <v>410</v>
      </c>
      <c r="AE244" s="103" t="s">
        <v>376</v>
      </c>
    </row>
    <row r="245" spans="1:31" ht="14.2" customHeight="1" thickBot="1" x14ac:dyDescent="0.3">
      <c r="A245" s="167" t="s">
        <v>139</v>
      </c>
      <c r="B245" s="219">
        <v>35</v>
      </c>
      <c r="C245" s="371">
        <v>22</v>
      </c>
      <c r="D245" s="210">
        <f t="shared" si="225"/>
        <v>479842.10478331579</v>
      </c>
      <c r="E245" s="390">
        <v>90</v>
      </c>
      <c r="F245" s="220">
        <v>999999999</v>
      </c>
      <c r="G245" s="390">
        <v>99</v>
      </c>
      <c r="H245" s="221">
        <v>100</v>
      </c>
      <c r="I245" s="222">
        <f>H245/B245/1000</f>
        <v>2.8571428571428571E-3</v>
      </c>
      <c r="J245" s="371">
        <v>11</v>
      </c>
      <c r="K245" s="210">
        <f>D245*H245/1000</f>
        <v>47984.210478331581</v>
      </c>
      <c r="L245" s="417">
        <v>90</v>
      </c>
      <c r="M245" s="223">
        <f>F245*H245/1000</f>
        <v>99999999.900000006</v>
      </c>
      <c r="N245" s="390">
        <v>90</v>
      </c>
      <c r="O245" s="224">
        <v>1469.3040000000001</v>
      </c>
      <c r="P245" s="436">
        <v>61</v>
      </c>
      <c r="Q245" s="225">
        <f>O245/S245</f>
        <v>1.2888631578947369</v>
      </c>
      <c r="R245" s="436">
        <v>90</v>
      </c>
      <c r="S245" s="225">
        <v>1140</v>
      </c>
      <c r="T245" s="436">
        <v>22</v>
      </c>
      <c r="U245" s="225">
        <v>99999</v>
      </c>
      <c r="V245" s="436">
        <v>99</v>
      </c>
      <c r="W245" s="136">
        <f t="shared" si="222"/>
        <v>7171.1672690016094</v>
      </c>
      <c r="X245" s="137">
        <f t="shared" si="207"/>
        <v>238.20802230171563</v>
      </c>
      <c r="Y245" s="138">
        <f t="shared" si="223"/>
        <v>94313640.551136032</v>
      </c>
      <c r="Z245" s="138">
        <f t="shared" si="224"/>
        <v>9431364.0551136043</v>
      </c>
      <c r="AA245" s="226"/>
      <c r="AB245" s="140" t="str">
        <f>VLOOKUP(C245,$B$399:$C$431,2,FALSE)</f>
        <v>「H11年省エネ基準解説」IBEC</v>
      </c>
      <c r="AC245" s="140" t="str">
        <f>VLOOKUP(G245,$B$399:$C$431,2,FALSE)</f>
        <v>推測値</v>
      </c>
      <c r="AD245" s="140" t="str">
        <f>VLOOKUP(P245,$B$399:$C$431,2,FALSE)</f>
        <v>smash マニュアル</v>
      </c>
    </row>
    <row r="246" spans="1:31" ht="21" customHeight="1" thickTop="1" x14ac:dyDescent="0.25">
      <c r="A246" s="122" t="s">
        <v>352</v>
      </c>
      <c r="B246" s="123"/>
      <c r="C246" s="363"/>
      <c r="D246" s="124"/>
      <c r="E246" s="363"/>
      <c r="F246" s="123"/>
      <c r="G246" s="363"/>
      <c r="H246" s="123"/>
      <c r="I246" s="123"/>
      <c r="J246" s="363"/>
      <c r="K246" s="124"/>
      <c r="L246" s="363"/>
      <c r="M246" s="123"/>
      <c r="N246" s="363"/>
      <c r="O246" s="123"/>
      <c r="P246" s="363"/>
      <c r="Q246" s="123"/>
      <c r="R246" s="363"/>
      <c r="S246" s="123"/>
      <c r="T246" s="363"/>
      <c r="U246" s="123"/>
      <c r="V246" s="363"/>
      <c r="W246" s="125"/>
      <c r="X246" s="125"/>
      <c r="Y246" s="126"/>
      <c r="Z246" s="126"/>
      <c r="AA246" s="127"/>
    </row>
    <row r="247" spans="1:31" ht="14.2" customHeight="1" x14ac:dyDescent="0.25">
      <c r="A247" s="156" t="s">
        <v>89</v>
      </c>
      <c r="B247" s="152">
        <v>3.1</v>
      </c>
      <c r="C247" s="398">
        <v>10</v>
      </c>
      <c r="D247" s="130"/>
      <c r="E247" s="387"/>
      <c r="F247" s="146"/>
      <c r="G247" s="387"/>
      <c r="H247" s="199">
        <v>10</v>
      </c>
      <c r="I247" s="172">
        <f>H247/B247/1000</f>
        <v>3.2258064516129032E-3</v>
      </c>
      <c r="J247" s="367">
        <v>90</v>
      </c>
      <c r="K247" s="169"/>
      <c r="L247" s="413"/>
      <c r="M247" s="173"/>
      <c r="N247" s="406"/>
      <c r="O247" s="153">
        <v>2352</v>
      </c>
      <c r="P247" s="430">
        <v>62</v>
      </c>
      <c r="Q247" s="135"/>
      <c r="R247" s="428"/>
      <c r="S247" s="155"/>
      <c r="T247" s="430"/>
      <c r="U247" s="135">
        <f>((B247/O247)/($B$194/$O$194))*0.2</f>
        <v>0.32950680272108845</v>
      </c>
      <c r="V247" s="428">
        <v>90</v>
      </c>
      <c r="W247" s="136">
        <f t="shared" ref="W247:W268" si="227">SQRT(B247*O247*1000)</f>
        <v>2700.2222130780274</v>
      </c>
      <c r="X247" s="137">
        <f t="shared" si="207"/>
        <v>13.180272108843539</v>
      </c>
      <c r="Y247" s="227"/>
      <c r="Z247" s="227"/>
      <c r="AA247" s="154"/>
      <c r="AB247" s="140" t="str">
        <f t="shared" ref="AB247:AB262" si="228">VLOOKUP(C247,$B$399:$C$431,2,FALSE)</f>
        <v>H28年建築物省エネルギー法</v>
      </c>
      <c r="AD247" s="140" t="str">
        <f>VLOOKUP(P247,$B$399:$C$431,2,FALSE)</f>
        <v>SolarDesigner6マニュアル</v>
      </c>
      <c r="AE247" s="103" t="s">
        <v>379</v>
      </c>
    </row>
    <row r="248" spans="1:31" ht="14.2" customHeight="1" x14ac:dyDescent="0.25">
      <c r="A248" s="156" t="s">
        <v>88</v>
      </c>
      <c r="B248" s="152">
        <v>1</v>
      </c>
      <c r="C248" s="398">
        <v>10</v>
      </c>
      <c r="D248" s="130"/>
      <c r="E248" s="387"/>
      <c r="F248" s="146"/>
      <c r="G248" s="387"/>
      <c r="H248" s="199">
        <v>10</v>
      </c>
      <c r="I248" s="129">
        <f>H248/B248/1000</f>
        <v>0.01</v>
      </c>
      <c r="J248" s="364">
        <v>90</v>
      </c>
      <c r="K248" s="157"/>
      <c r="L248" s="382"/>
      <c r="M248" s="133"/>
      <c r="N248" s="383"/>
      <c r="O248" s="153"/>
      <c r="P248" s="430"/>
      <c r="Q248" s="135"/>
      <c r="R248" s="428"/>
      <c r="S248" s="155"/>
      <c r="T248" s="430"/>
      <c r="U248" s="135"/>
      <c r="V248" s="428"/>
      <c r="W248" s="136">
        <f t="shared" si="227"/>
        <v>0</v>
      </c>
      <c r="X248" s="137"/>
      <c r="Y248" s="227"/>
      <c r="Z248" s="227"/>
      <c r="AA248" s="154"/>
      <c r="AB248" s="140" t="str">
        <f t="shared" si="228"/>
        <v>H28年建築物省エネルギー法</v>
      </c>
      <c r="AE248" s="103" t="s">
        <v>380</v>
      </c>
    </row>
    <row r="249" spans="1:31" ht="14.2" customHeight="1" x14ac:dyDescent="0.25">
      <c r="A249" s="156" t="s">
        <v>232</v>
      </c>
      <c r="B249" s="152">
        <v>2.7909999999999999</v>
      </c>
      <c r="C249" s="398">
        <v>50</v>
      </c>
      <c r="D249" s="130"/>
      <c r="E249" s="387"/>
      <c r="F249" s="146"/>
      <c r="G249" s="387"/>
      <c r="H249" s="199">
        <v>10</v>
      </c>
      <c r="I249" s="129">
        <f>H249/B249/1000</f>
        <v>3.5829451809387316E-3</v>
      </c>
      <c r="J249" s="364">
        <v>90</v>
      </c>
      <c r="K249" s="157"/>
      <c r="L249" s="382"/>
      <c r="M249" s="133"/>
      <c r="N249" s="383"/>
      <c r="O249" s="153">
        <v>2348</v>
      </c>
      <c r="P249" s="430">
        <v>40</v>
      </c>
      <c r="Q249" s="135">
        <f>O249/S249</f>
        <v>0.87940074906367038</v>
      </c>
      <c r="R249" s="428">
        <v>11</v>
      </c>
      <c r="S249" s="155">
        <v>2670</v>
      </c>
      <c r="T249" s="430">
        <v>50</v>
      </c>
      <c r="U249" s="135">
        <f>((B249/O249)/($B$194/$O$194))*0.2</f>
        <v>0.29716780238500851</v>
      </c>
      <c r="V249" s="428">
        <v>90</v>
      </c>
      <c r="W249" s="136">
        <f t="shared" si="227"/>
        <v>2559.9351554287464</v>
      </c>
      <c r="X249" s="137">
        <f t="shared" si="207"/>
        <v>11.886712095400341</v>
      </c>
      <c r="Y249" s="227"/>
      <c r="Z249" s="227"/>
      <c r="AA249" s="154"/>
      <c r="AB249" s="140" t="str">
        <f t="shared" si="228"/>
        <v>「建築の結露」井上書院</v>
      </c>
      <c r="AD249" s="140" t="str">
        <f>VLOOKUP(P249,$B$399:$C$431,2,FALSE)</f>
        <v>建築設計資料集成[環境]S53出版</v>
      </c>
    </row>
    <row r="250" spans="1:31" ht="14.2" customHeight="1" x14ac:dyDescent="0.25">
      <c r="A250" s="156" t="s">
        <v>233</v>
      </c>
      <c r="B250" s="152">
        <v>3.2559999999999998</v>
      </c>
      <c r="C250" s="398">
        <v>50</v>
      </c>
      <c r="D250" s="130"/>
      <c r="E250" s="387"/>
      <c r="F250" s="146"/>
      <c r="G250" s="387"/>
      <c r="H250" s="199">
        <v>10</v>
      </c>
      <c r="I250" s="129">
        <f t="shared" ref="I250:I266" si="229">H250/B250/1000</f>
        <v>3.0712530712530715E-3</v>
      </c>
      <c r="J250" s="364">
        <v>90</v>
      </c>
      <c r="K250" s="130"/>
      <c r="L250" s="416"/>
      <c r="M250" s="228"/>
      <c r="N250" s="387"/>
      <c r="O250" s="153">
        <v>2352</v>
      </c>
      <c r="P250" s="430">
        <v>62</v>
      </c>
      <c r="Q250" s="135">
        <f>O250/S250</f>
        <v>0.8552727272727273</v>
      </c>
      <c r="R250" s="428">
        <v>90</v>
      </c>
      <c r="S250" s="155">
        <v>2750</v>
      </c>
      <c r="T250" s="430">
        <v>50</v>
      </c>
      <c r="U250" s="135">
        <f>((B250/O250)/($B$194/$O$194))*0.2</f>
        <v>0.34608843537414963</v>
      </c>
      <c r="V250" s="428">
        <v>90</v>
      </c>
      <c r="W250" s="136">
        <f t="shared" si="227"/>
        <v>2767.3293985357072</v>
      </c>
      <c r="X250" s="137">
        <f t="shared" si="207"/>
        <v>13.843537414965986</v>
      </c>
      <c r="Y250" s="227"/>
      <c r="Z250" s="227"/>
      <c r="AA250" s="154"/>
      <c r="AB250" s="140" t="str">
        <f t="shared" si="228"/>
        <v>「建築の結露」井上書院</v>
      </c>
      <c r="AD250" s="140" t="str">
        <f>VLOOKUP(P250,$B$399:$C$431,2,FALSE)</f>
        <v>SolarDesigner6マニュアル</v>
      </c>
    </row>
    <row r="251" spans="1:31" ht="14.2" customHeight="1" x14ac:dyDescent="0.25">
      <c r="A251" s="156" t="s">
        <v>234</v>
      </c>
      <c r="B251" s="152">
        <v>2.903</v>
      </c>
      <c r="C251" s="398">
        <v>50</v>
      </c>
      <c r="D251" s="130"/>
      <c r="E251" s="387"/>
      <c r="F251" s="146"/>
      <c r="G251" s="387"/>
      <c r="H251" s="199">
        <v>10</v>
      </c>
      <c r="I251" s="129">
        <f t="shared" si="229"/>
        <v>3.4447123665173958E-3</v>
      </c>
      <c r="J251" s="364">
        <v>90</v>
      </c>
      <c r="K251" s="130"/>
      <c r="L251" s="416"/>
      <c r="M251" s="228"/>
      <c r="N251" s="387"/>
      <c r="O251" s="153"/>
      <c r="P251" s="430"/>
      <c r="Q251" s="155"/>
      <c r="R251" s="430"/>
      <c r="S251" s="155">
        <v>2170</v>
      </c>
      <c r="T251" s="430">
        <v>50</v>
      </c>
      <c r="U251" s="135"/>
      <c r="V251" s="428"/>
      <c r="W251" s="136">
        <f t="shared" si="227"/>
        <v>0</v>
      </c>
      <c r="X251" s="137"/>
      <c r="Y251" s="227"/>
      <c r="Z251" s="227"/>
      <c r="AA251" s="154"/>
      <c r="AB251" s="140" t="str">
        <f t="shared" si="228"/>
        <v>「建築の結露」井上書院</v>
      </c>
    </row>
    <row r="252" spans="1:31" ht="14.2" customHeight="1" x14ac:dyDescent="0.25">
      <c r="A252" s="156" t="s">
        <v>235</v>
      </c>
      <c r="B252" s="152">
        <v>1.2789999999999999</v>
      </c>
      <c r="C252" s="398">
        <v>50</v>
      </c>
      <c r="D252" s="130"/>
      <c r="E252" s="387"/>
      <c r="F252" s="146"/>
      <c r="G252" s="387"/>
      <c r="H252" s="199">
        <v>10</v>
      </c>
      <c r="I252" s="129">
        <f t="shared" si="229"/>
        <v>7.8186082877247862E-3</v>
      </c>
      <c r="J252" s="364">
        <v>90</v>
      </c>
      <c r="K252" s="130"/>
      <c r="L252" s="416"/>
      <c r="M252" s="228"/>
      <c r="N252" s="387"/>
      <c r="O252" s="153">
        <v>1144</v>
      </c>
      <c r="P252" s="430">
        <v>54</v>
      </c>
      <c r="Q252" s="155">
        <v>0.88</v>
      </c>
      <c r="R252" s="430">
        <v>54</v>
      </c>
      <c r="S252" s="155">
        <v>1650</v>
      </c>
      <c r="T252" s="430">
        <v>50</v>
      </c>
      <c r="U252" s="135">
        <f>((B252/O252)/($B$194/$O$194))*0.2</f>
        <v>0.27950174825174828</v>
      </c>
      <c r="V252" s="428">
        <v>90</v>
      </c>
      <c r="W252" s="136">
        <f t="shared" si="227"/>
        <v>1209.6181215573781</v>
      </c>
      <c r="X252" s="137">
        <f t="shared" si="207"/>
        <v>11.18006993006993</v>
      </c>
      <c r="Y252" s="227"/>
      <c r="Z252" s="227"/>
      <c r="AA252" s="154"/>
      <c r="AB252" s="140" t="str">
        <f t="shared" si="228"/>
        <v>「建築の結露」井上書院</v>
      </c>
      <c r="AD252" s="140" t="str">
        <f>VLOOKUP(P252,$B$399:$C$431,2,FALSE)</f>
        <v>「健康なすまいへの道」建築資料研究社</v>
      </c>
    </row>
    <row r="253" spans="1:31" ht="14.2" customHeight="1" x14ac:dyDescent="0.25">
      <c r="A253" s="156" t="s">
        <v>114</v>
      </c>
      <c r="B253" s="152">
        <v>1.744</v>
      </c>
      <c r="C253" s="398">
        <v>50</v>
      </c>
      <c r="D253" s="130"/>
      <c r="E253" s="387"/>
      <c r="F253" s="146"/>
      <c r="G253" s="387"/>
      <c r="H253" s="199">
        <v>10</v>
      </c>
      <c r="I253" s="129">
        <f t="shared" si="229"/>
        <v>5.7339449541284407E-3</v>
      </c>
      <c r="J253" s="364">
        <v>90</v>
      </c>
      <c r="K253" s="130"/>
      <c r="L253" s="416"/>
      <c r="M253" s="228"/>
      <c r="N253" s="387"/>
      <c r="O253" s="153">
        <v>2232</v>
      </c>
      <c r="P253" s="430">
        <v>54</v>
      </c>
      <c r="Q253" s="155">
        <v>0.93</v>
      </c>
      <c r="R253" s="430">
        <v>54</v>
      </c>
      <c r="S253" s="155">
        <v>2225</v>
      </c>
      <c r="T253" s="430">
        <v>50</v>
      </c>
      <c r="U253" s="135">
        <f>((B253/O253)/($B$194/$O$194))*0.2</f>
        <v>0.19534050179211471</v>
      </c>
      <c r="V253" s="428">
        <v>90</v>
      </c>
      <c r="W253" s="136">
        <f t="shared" si="227"/>
        <v>1972.9693357982023</v>
      </c>
      <c r="X253" s="137">
        <f t="shared" si="207"/>
        <v>7.8136200716845883</v>
      </c>
      <c r="Y253" s="227"/>
      <c r="Z253" s="227"/>
      <c r="AA253" s="154"/>
      <c r="AB253" s="140" t="str">
        <f t="shared" si="228"/>
        <v>「建築の結露」井上書院</v>
      </c>
      <c r="AD253" s="140" t="str">
        <f>VLOOKUP(P253,$B$399:$C$431,2,FALSE)</f>
        <v>「健康なすまいへの道」建築資料研究社</v>
      </c>
    </row>
    <row r="254" spans="1:31" ht="14.2" customHeight="1" x14ac:dyDescent="0.25">
      <c r="A254" s="156" t="s">
        <v>471</v>
      </c>
      <c r="B254" s="152">
        <v>0.30199999999999999</v>
      </c>
      <c r="C254" s="398">
        <v>50</v>
      </c>
      <c r="D254" s="130"/>
      <c r="E254" s="387"/>
      <c r="F254" s="146"/>
      <c r="G254" s="387"/>
      <c r="H254" s="199">
        <v>10</v>
      </c>
      <c r="I254" s="129">
        <f t="shared" si="229"/>
        <v>3.3112582781456956E-2</v>
      </c>
      <c r="J254" s="364">
        <v>90</v>
      </c>
      <c r="K254" s="130"/>
      <c r="L254" s="416"/>
      <c r="M254" s="228"/>
      <c r="N254" s="387"/>
      <c r="O254" s="153"/>
      <c r="P254" s="430"/>
      <c r="Q254" s="155"/>
      <c r="R254" s="430"/>
      <c r="S254" s="155">
        <v>921</v>
      </c>
      <c r="T254" s="430">
        <v>50</v>
      </c>
      <c r="U254" s="135"/>
      <c r="V254" s="428"/>
      <c r="W254" s="136">
        <f t="shared" si="227"/>
        <v>0</v>
      </c>
      <c r="X254" s="137"/>
      <c r="Y254" s="227"/>
      <c r="Z254" s="227"/>
      <c r="AA254" s="154"/>
      <c r="AB254" s="140" t="str">
        <f t="shared" si="228"/>
        <v>「建築の結露」井上書院</v>
      </c>
    </row>
    <row r="255" spans="1:31" ht="14.2" customHeight="1" x14ac:dyDescent="0.25">
      <c r="A255" s="156" t="s">
        <v>472</v>
      </c>
      <c r="B255" s="152">
        <v>0.628</v>
      </c>
      <c r="C255" s="398">
        <v>50</v>
      </c>
      <c r="D255" s="130"/>
      <c r="E255" s="387"/>
      <c r="F255" s="146"/>
      <c r="G255" s="387"/>
      <c r="H255" s="199">
        <v>10</v>
      </c>
      <c r="I255" s="129">
        <f t="shared" si="229"/>
        <v>1.5923566878980892E-2</v>
      </c>
      <c r="J255" s="364">
        <v>90</v>
      </c>
      <c r="K255" s="130"/>
      <c r="L255" s="416"/>
      <c r="M255" s="228"/>
      <c r="N255" s="387"/>
      <c r="O255" s="153"/>
      <c r="P255" s="430"/>
      <c r="Q255" s="155"/>
      <c r="R255" s="430"/>
      <c r="S255" s="155">
        <v>1890</v>
      </c>
      <c r="T255" s="430">
        <v>50</v>
      </c>
      <c r="U255" s="135"/>
      <c r="V255" s="428"/>
      <c r="W255" s="136">
        <f t="shared" si="227"/>
        <v>0</v>
      </c>
      <c r="X255" s="137"/>
      <c r="Y255" s="227"/>
      <c r="Z255" s="227"/>
      <c r="AA255" s="154"/>
      <c r="AB255" s="140" t="str">
        <f t="shared" si="228"/>
        <v>「建築の結露」井上書院</v>
      </c>
    </row>
    <row r="256" spans="1:31" ht="14.2" customHeight="1" x14ac:dyDescent="0.25">
      <c r="A256" s="156" t="s">
        <v>473</v>
      </c>
      <c r="B256" s="152">
        <v>1.5469999999999999</v>
      </c>
      <c r="C256" s="398">
        <v>50</v>
      </c>
      <c r="D256" s="130"/>
      <c r="E256" s="387"/>
      <c r="F256" s="146"/>
      <c r="G256" s="387"/>
      <c r="H256" s="199">
        <v>10</v>
      </c>
      <c r="I256" s="129">
        <f t="shared" si="229"/>
        <v>6.4641241111829352E-3</v>
      </c>
      <c r="J256" s="364">
        <v>90</v>
      </c>
      <c r="K256" s="130"/>
      <c r="L256" s="416"/>
      <c r="M256" s="228"/>
      <c r="N256" s="387"/>
      <c r="O256" s="153"/>
      <c r="P256" s="430"/>
      <c r="Q256" s="155"/>
      <c r="R256" s="430"/>
      <c r="S256" s="155">
        <v>1650</v>
      </c>
      <c r="T256" s="430">
        <v>50</v>
      </c>
      <c r="U256" s="135"/>
      <c r="V256" s="428"/>
      <c r="W256" s="136">
        <f t="shared" si="227"/>
        <v>0</v>
      </c>
      <c r="X256" s="137"/>
      <c r="Y256" s="227"/>
      <c r="Z256" s="227"/>
      <c r="AA256" s="154"/>
      <c r="AB256" s="140" t="str">
        <f t="shared" si="228"/>
        <v>「建築の結露」井上書院</v>
      </c>
    </row>
    <row r="257" spans="1:32" ht="14.2" customHeight="1" x14ac:dyDescent="0.25">
      <c r="A257" s="156" t="s">
        <v>474</v>
      </c>
      <c r="B257" s="152">
        <v>2.3260000000000001</v>
      </c>
      <c r="C257" s="398">
        <v>50</v>
      </c>
      <c r="D257" s="130"/>
      <c r="E257" s="387"/>
      <c r="F257" s="146"/>
      <c r="G257" s="387"/>
      <c r="H257" s="199">
        <v>10</v>
      </c>
      <c r="I257" s="129">
        <f t="shared" si="229"/>
        <v>4.2992261392949269E-3</v>
      </c>
      <c r="J257" s="364">
        <v>90</v>
      </c>
      <c r="K257" s="130"/>
      <c r="L257" s="416"/>
      <c r="M257" s="228"/>
      <c r="N257" s="387"/>
      <c r="O257" s="153"/>
      <c r="P257" s="430"/>
      <c r="Q257" s="155"/>
      <c r="R257" s="430"/>
      <c r="S257" s="155">
        <v>2020</v>
      </c>
      <c r="T257" s="430">
        <v>50</v>
      </c>
      <c r="U257" s="135"/>
      <c r="V257" s="428"/>
      <c r="W257" s="136">
        <f t="shared" si="227"/>
        <v>0</v>
      </c>
      <c r="X257" s="137"/>
      <c r="Y257" s="227"/>
      <c r="Z257" s="227"/>
      <c r="AA257" s="154"/>
      <c r="AB257" s="140" t="str">
        <f t="shared" si="228"/>
        <v>「建築の結露」井上書院</v>
      </c>
    </row>
    <row r="258" spans="1:32" ht="14.2" customHeight="1" x14ac:dyDescent="0.25">
      <c r="A258" s="156" t="s">
        <v>475</v>
      </c>
      <c r="B258" s="152">
        <v>0.5</v>
      </c>
      <c r="C258" s="398">
        <v>50</v>
      </c>
      <c r="D258" s="130"/>
      <c r="E258" s="387"/>
      <c r="F258" s="146"/>
      <c r="G258" s="387"/>
      <c r="H258" s="199">
        <v>10</v>
      </c>
      <c r="I258" s="129">
        <f t="shared" si="229"/>
        <v>0.02</v>
      </c>
      <c r="J258" s="364">
        <v>90</v>
      </c>
      <c r="K258" s="130"/>
      <c r="L258" s="416"/>
      <c r="M258" s="228"/>
      <c r="N258" s="387"/>
      <c r="O258" s="153"/>
      <c r="P258" s="430"/>
      <c r="Q258" s="155"/>
      <c r="R258" s="430"/>
      <c r="S258" s="155">
        <v>1700</v>
      </c>
      <c r="T258" s="430">
        <v>50</v>
      </c>
      <c r="U258" s="135"/>
      <c r="V258" s="428"/>
      <c r="W258" s="136">
        <f t="shared" si="227"/>
        <v>0</v>
      </c>
      <c r="X258" s="137"/>
      <c r="Y258" s="227"/>
      <c r="Z258" s="227"/>
      <c r="AA258" s="154"/>
      <c r="AB258" s="140" t="str">
        <f t="shared" si="228"/>
        <v>「建築の結露」井上書院</v>
      </c>
    </row>
    <row r="259" spans="1:32" ht="14.2" customHeight="1" x14ac:dyDescent="0.25">
      <c r="A259" s="156" t="s">
        <v>476</v>
      </c>
      <c r="B259" s="152">
        <v>1.1279999999999999</v>
      </c>
      <c r="C259" s="398">
        <v>50</v>
      </c>
      <c r="D259" s="130"/>
      <c r="E259" s="387"/>
      <c r="F259" s="146"/>
      <c r="G259" s="387"/>
      <c r="H259" s="199">
        <v>10</v>
      </c>
      <c r="I259" s="129">
        <f t="shared" si="229"/>
        <v>8.8652482269503553E-3</v>
      </c>
      <c r="J259" s="364">
        <v>90</v>
      </c>
      <c r="K259" s="130"/>
      <c r="L259" s="416"/>
      <c r="M259" s="228"/>
      <c r="N259" s="387"/>
      <c r="O259" s="153"/>
      <c r="P259" s="430"/>
      <c r="Q259" s="155"/>
      <c r="R259" s="430"/>
      <c r="S259" s="155">
        <v>1640</v>
      </c>
      <c r="T259" s="430">
        <v>50</v>
      </c>
      <c r="U259" s="135"/>
      <c r="V259" s="428"/>
      <c r="W259" s="136">
        <f t="shared" si="227"/>
        <v>0</v>
      </c>
      <c r="X259" s="137"/>
      <c r="Y259" s="227"/>
      <c r="Z259" s="227"/>
      <c r="AA259" s="154"/>
      <c r="AB259" s="140" t="str">
        <f t="shared" si="228"/>
        <v>「建築の結露」井上書院</v>
      </c>
    </row>
    <row r="260" spans="1:32" ht="14.2" customHeight="1" x14ac:dyDescent="0.25">
      <c r="A260" s="156" t="s">
        <v>477</v>
      </c>
      <c r="B260" s="152">
        <v>0.83699999999999997</v>
      </c>
      <c r="C260" s="398">
        <v>50</v>
      </c>
      <c r="D260" s="130"/>
      <c r="E260" s="387"/>
      <c r="F260" s="146"/>
      <c r="G260" s="387"/>
      <c r="H260" s="199">
        <v>10</v>
      </c>
      <c r="I260" s="129">
        <f t="shared" si="229"/>
        <v>1.1947431302270011E-2</v>
      </c>
      <c r="J260" s="364">
        <v>90</v>
      </c>
      <c r="K260" s="130"/>
      <c r="L260" s="416"/>
      <c r="M260" s="228"/>
      <c r="N260" s="387"/>
      <c r="O260" s="153"/>
      <c r="P260" s="430"/>
      <c r="Q260" s="155"/>
      <c r="R260" s="430"/>
      <c r="S260" s="155">
        <v>1850</v>
      </c>
      <c r="T260" s="430">
        <v>50</v>
      </c>
      <c r="U260" s="135"/>
      <c r="V260" s="428"/>
      <c r="W260" s="136">
        <f t="shared" si="227"/>
        <v>0</v>
      </c>
      <c r="X260" s="137"/>
      <c r="Y260" s="227"/>
      <c r="Z260" s="227"/>
      <c r="AA260" s="154"/>
      <c r="AB260" s="140" t="str">
        <f t="shared" si="228"/>
        <v>「建築の結露」井上書院</v>
      </c>
    </row>
    <row r="261" spans="1:32" ht="14.2" customHeight="1" x14ac:dyDescent="0.25">
      <c r="A261" s="156" t="s">
        <v>115</v>
      </c>
      <c r="B261" s="152">
        <v>1.2789999999999999</v>
      </c>
      <c r="C261" s="398">
        <v>51</v>
      </c>
      <c r="D261" s="130"/>
      <c r="E261" s="387"/>
      <c r="F261" s="146"/>
      <c r="G261" s="387"/>
      <c r="H261" s="199">
        <v>10</v>
      </c>
      <c r="I261" s="129">
        <f t="shared" si="229"/>
        <v>7.8186082877247862E-3</v>
      </c>
      <c r="J261" s="364">
        <v>90</v>
      </c>
      <c r="K261" s="130"/>
      <c r="L261" s="416"/>
      <c r="M261" s="228"/>
      <c r="N261" s="387"/>
      <c r="O261" s="153"/>
      <c r="P261" s="430"/>
      <c r="Q261" s="155"/>
      <c r="R261" s="430"/>
      <c r="S261" s="155">
        <v>2400</v>
      </c>
      <c r="T261" s="430">
        <v>51</v>
      </c>
      <c r="U261" s="135"/>
      <c r="V261" s="428"/>
      <c r="W261" s="136">
        <f t="shared" si="227"/>
        <v>0</v>
      </c>
      <c r="X261" s="137"/>
      <c r="Y261" s="227"/>
      <c r="Z261" s="227"/>
      <c r="AA261" s="154"/>
      <c r="AB261" s="140" t="str">
        <f t="shared" si="228"/>
        <v>「建物の結露」学芸出版社 (2003/04)</v>
      </c>
    </row>
    <row r="262" spans="1:32" ht="14.2" customHeight="1" x14ac:dyDescent="0.25">
      <c r="A262" s="128" t="s">
        <v>227</v>
      </c>
      <c r="B262" s="145">
        <v>1.2789999999999999</v>
      </c>
      <c r="C262" s="364">
        <v>51</v>
      </c>
      <c r="D262" s="130">
        <f t="shared" ref="D262:D267" si="230">F262*3600*10^-9/760*1.013*10^5</f>
        <v>228.40484210526316</v>
      </c>
      <c r="E262" s="387">
        <v>11</v>
      </c>
      <c r="F262" s="131">
        <v>476000</v>
      </c>
      <c r="G262" s="383">
        <v>22</v>
      </c>
      <c r="H262" s="199">
        <v>10</v>
      </c>
      <c r="I262" s="129">
        <f t="shared" si="229"/>
        <v>7.8186082877247862E-3</v>
      </c>
      <c r="J262" s="364">
        <v>90</v>
      </c>
      <c r="K262" s="157">
        <f>D262*H262/1000</f>
        <v>2.2840484210526317</v>
      </c>
      <c r="L262" s="382">
        <v>90</v>
      </c>
      <c r="M262" s="228">
        <f>F262*H262/1000</f>
        <v>4760</v>
      </c>
      <c r="N262" s="383">
        <v>90</v>
      </c>
      <c r="O262" s="134">
        <v>2457</v>
      </c>
      <c r="P262" s="428">
        <v>54</v>
      </c>
      <c r="Q262" s="135">
        <v>0.91</v>
      </c>
      <c r="R262" s="428">
        <v>54</v>
      </c>
      <c r="S262" s="135">
        <v>2400</v>
      </c>
      <c r="T262" s="428">
        <v>51</v>
      </c>
      <c r="U262" s="135">
        <f>((B262/O262)/($B$194/$O$194))*0.2</f>
        <v>0.13013838013838014</v>
      </c>
      <c r="V262" s="428">
        <v>90</v>
      </c>
      <c r="W262" s="136">
        <f t="shared" si="227"/>
        <v>1772.7106362855725</v>
      </c>
      <c r="X262" s="137">
        <f t="shared" si="207"/>
        <v>5.2055352055352051</v>
      </c>
      <c r="Y262" s="138">
        <f t="shared" ref="Y262:Y263" si="231">K262/(H262/1000)*((2*10^-7*(20+273)^0.81/101325)*10^12)</f>
        <v>44893.29294723404</v>
      </c>
      <c r="Z262" s="138">
        <f t="shared" ref="Z262:Z263" si="232">Y262*(H262/1000)</f>
        <v>448.93292947234039</v>
      </c>
      <c r="AA262" s="144"/>
      <c r="AB262" s="140" t="str">
        <f t="shared" si="228"/>
        <v>「建物の結露」学芸出版社 (2003/04)</v>
      </c>
      <c r="AC262" s="140" t="str">
        <f>VLOOKUP(G262,$B$399:$C$431,2,FALSE)</f>
        <v>「H11年省エネ基準解説」IBEC</v>
      </c>
      <c r="AD262" s="140" t="str">
        <f>VLOOKUP(P262,$B$399:$C$431,2,FALSE)</f>
        <v>「健康なすまいへの道」建築資料研究社</v>
      </c>
    </row>
    <row r="263" spans="1:32" ht="14.2" customHeight="1" x14ac:dyDescent="0.25">
      <c r="A263" s="128" t="s">
        <v>228</v>
      </c>
      <c r="B263" s="145"/>
      <c r="C263" s="364"/>
      <c r="D263" s="130">
        <f t="shared" si="230"/>
        <v>64.298842105263162</v>
      </c>
      <c r="E263" s="387">
        <v>11</v>
      </c>
      <c r="F263" s="131">
        <v>134000</v>
      </c>
      <c r="G263" s="383">
        <v>22</v>
      </c>
      <c r="H263" s="199">
        <v>10</v>
      </c>
      <c r="I263" s="129"/>
      <c r="J263" s="364"/>
      <c r="K263" s="157">
        <f>D263*H263/1000</f>
        <v>0.64298842105263154</v>
      </c>
      <c r="L263" s="382">
        <v>90</v>
      </c>
      <c r="M263" s="133">
        <f>F263*H263/1000</f>
        <v>1340</v>
      </c>
      <c r="N263" s="383">
        <v>90</v>
      </c>
      <c r="O263" s="134">
        <v>2016.002</v>
      </c>
      <c r="P263" s="428">
        <v>62</v>
      </c>
      <c r="Q263" s="135"/>
      <c r="R263" s="428"/>
      <c r="S263" s="135"/>
      <c r="T263" s="428"/>
      <c r="U263" s="135">
        <f>((B263/O263)/($B$194/$O$194))*0.2</f>
        <v>0</v>
      </c>
      <c r="V263" s="428">
        <v>90</v>
      </c>
      <c r="W263" s="136">
        <f t="shared" si="227"/>
        <v>0</v>
      </c>
      <c r="X263" s="137">
        <f t="shared" si="207"/>
        <v>0</v>
      </c>
      <c r="Y263" s="138">
        <f t="shared" si="231"/>
        <v>12638.027846490255</v>
      </c>
      <c r="Z263" s="138">
        <f t="shared" si="232"/>
        <v>126.38027846490255</v>
      </c>
      <c r="AA263" s="144"/>
      <c r="AB263" s="140"/>
      <c r="AC263" s="140" t="str">
        <f>VLOOKUP(G263,$B$399:$C$431,2,FALSE)</f>
        <v>「H11年省エネ基準解説」IBEC</v>
      </c>
      <c r="AD263" s="140" t="str">
        <f>VLOOKUP(P263,$B$399:$C$431,2,FALSE)</f>
        <v>SolarDesigner6マニュアル</v>
      </c>
    </row>
    <row r="264" spans="1:32" ht="14.2" customHeight="1" x14ac:dyDescent="0.25">
      <c r="A264" s="188" t="s">
        <v>81</v>
      </c>
      <c r="B264" s="189"/>
      <c r="C264" s="372"/>
      <c r="D264" s="130"/>
      <c r="E264" s="387"/>
      <c r="F264" s="158"/>
      <c r="G264" s="391"/>
      <c r="H264" s="199">
        <v>10</v>
      </c>
      <c r="I264" s="129"/>
      <c r="J264" s="364"/>
      <c r="K264" s="157"/>
      <c r="L264" s="416"/>
      <c r="M264" s="133"/>
      <c r="N264" s="383"/>
      <c r="O264" s="191">
        <v>1980.002</v>
      </c>
      <c r="P264" s="434">
        <v>62</v>
      </c>
      <c r="Q264" s="142"/>
      <c r="R264" s="434"/>
      <c r="S264" s="142"/>
      <c r="T264" s="434"/>
      <c r="U264" s="135">
        <f>((B264/O264)/($B$194/$O$194))*0.2</f>
        <v>0</v>
      </c>
      <c r="V264" s="428">
        <v>90</v>
      </c>
      <c r="W264" s="136">
        <f t="shared" si="227"/>
        <v>0</v>
      </c>
      <c r="X264" s="137">
        <f t="shared" si="207"/>
        <v>0</v>
      </c>
      <c r="Y264" s="138"/>
      <c r="Z264" s="138"/>
      <c r="AA264" s="143"/>
      <c r="AB264" s="140"/>
      <c r="AC264" s="140"/>
      <c r="AD264" s="140" t="str">
        <f>VLOOKUP(P264,$B$399:$C$431,2,FALSE)</f>
        <v>SolarDesigner6マニュアル</v>
      </c>
    </row>
    <row r="265" spans="1:32" ht="14.2" customHeight="1" x14ac:dyDescent="0.25">
      <c r="A265" s="188" t="s">
        <v>229</v>
      </c>
      <c r="B265" s="189"/>
      <c r="C265" s="372"/>
      <c r="D265" s="130">
        <f t="shared" si="230"/>
        <v>0.19577557894736844</v>
      </c>
      <c r="E265" s="387">
        <v>11</v>
      </c>
      <c r="F265" s="158">
        <v>408</v>
      </c>
      <c r="G265" s="391">
        <v>22</v>
      </c>
      <c r="H265" s="199">
        <v>10</v>
      </c>
      <c r="I265" s="129"/>
      <c r="J265" s="364"/>
      <c r="K265" s="157">
        <f>D265*H265/1000</f>
        <v>1.9577557894736842E-3</v>
      </c>
      <c r="L265" s="382">
        <v>90</v>
      </c>
      <c r="M265" s="133">
        <f>F265*H265/1000</f>
        <v>4.08</v>
      </c>
      <c r="N265" s="383">
        <v>90</v>
      </c>
      <c r="O265" s="191"/>
      <c r="P265" s="434"/>
      <c r="Q265" s="142"/>
      <c r="R265" s="434"/>
      <c r="S265" s="142"/>
      <c r="T265" s="434"/>
      <c r="U265" s="135"/>
      <c r="V265" s="428"/>
      <c r="W265" s="136">
        <f t="shared" si="227"/>
        <v>0</v>
      </c>
      <c r="X265" s="137"/>
      <c r="Y265" s="138">
        <f t="shared" ref="Y265:Y268" si="233">K265/(H265/1000)*((2*10^-7*(20+273)^0.81/101325)*10^12)</f>
        <v>38.479965383343462</v>
      </c>
      <c r="Z265" s="138">
        <f t="shared" ref="Z265:Z268" si="234">Y265*(H265/1000)</f>
        <v>0.38479965383343462</v>
      </c>
      <c r="AA265" s="143"/>
      <c r="AB265" s="140"/>
      <c r="AC265" s="140" t="str">
        <f>VLOOKUP(G265,$B$399:$C$431,2,FALSE)</f>
        <v>「H11年省エネ基準解説」IBEC</v>
      </c>
    </row>
    <row r="266" spans="1:32" ht="14.2" customHeight="1" x14ac:dyDescent="0.25">
      <c r="A266" s="188" t="s">
        <v>168</v>
      </c>
      <c r="B266" s="189">
        <v>1.512</v>
      </c>
      <c r="C266" s="372">
        <v>31</v>
      </c>
      <c r="D266" s="130">
        <f>F266*3600*10^-9/760*1.013*10^5</f>
        <v>0.3902715789473683</v>
      </c>
      <c r="E266" s="387">
        <v>90</v>
      </c>
      <c r="F266" s="131">
        <f>M266/(H266/1000)</f>
        <v>813.33333333333326</v>
      </c>
      <c r="G266" s="383">
        <v>90</v>
      </c>
      <c r="H266" s="190">
        <v>3</v>
      </c>
      <c r="I266" s="129">
        <f t="shared" si="229"/>
        <v>1.984126984126984E-3</v>
      </c>
      <c r="J266" s="364">
        <v>90</v>
      </c>
      <c r="K266" s="157">
        <f>D266*H266/1000</f>
        <v>1.170814736842105E-3</v>
      </c>
      <c r="L266" s="382">
        <v>90</v>
      </c>
      <c r="M266" s="228">
        <v>2.44</v>
      </c>
      <c r="N266" s="383">
        <v>31</v>
      </c>
      <c r="O266" s="191">
        <v>1800</v>
      </c>
      <c r="P266" s="434">
        <v>62</v>
      </c>
      <c r="Q266" s="142"/>
      <c r="R266" s="434"/>
      <c r="S266" s="142"/>
      <c r="T266" s="434"/>
      <c r="U266" s="135">
        <f>((B266/O266)/($B$194/$O$194))*0.2</f>
        <v>0.21000000000000002</v>
      </c>
      <c r="V266" s="428">
        <v>90</v>
      </c>
      <c r="W266" s="136">
        <f t="shared" si="227"/>
        <v>1649.7272501841023</v>
      </c>
      <c r="X266" s="137">
        <f t="shared" si="207"/>
        <v>8.4</v>
      </c>
      <c r="Y266" s="138">
        <f t="shared" si="233"/>
        <v>76.708427724965716</v>
      </c>
      <c r="Z266" s="138">
        <f t="shared" si="234"/>
        <v>0.23012528317489717</v>
      </c>
      <c r="AA266" s="143"/>
      <c r="AB266" s="140" t="str">
        <f>VLOOKUP(C266,$B$399:$C$431,2,FALSE)</f>
        <v>「結露防止ガイドブック」IBEC</v>
      </c>
      <c r="AC266" s="140" t="str">
        <f>VLOOKUP(N266,$B$399:$C$431,2,FALSE)</f>
        <v>「結露防止ガイドブック」IBEC</v>
      </c>
      <c r="AD266" s="140" t="str">
        <f>VLOOKUP(P266,$B$399:$C$431,2,FALSE)</f>
        <v>SolarDesigner6マニュアル</v>
      </c>
    </row>
    <row r="267" spans="1:32" ht="14.2" customHeight="1" x14ac:dyDescent="0.25">
      <c r="A267" s="188" t="s">
        <v>169</v>
      </c>
      <c r="B267" s="189"/>
      <c r="C267" s="372"/>
      <c r="D267" s="130">
        <f t="shared" si="230"/>
        <v>1.4395263157894738</v>
      </c>
      <c r="E267" s="387">
        <v>11</v>
      </c>
      <c r="F267" s="158">
        <v>3000</v>
      </c>
      <c r="G267" s="391">
        <v>22</v>
      </c>
      <c r="H267" s="190">
        <v>10</v>
      </c>
      <c r="I267" s="129"/>
      <c r="J267" s="364"/>
      <c r="K267" s="157">
        <f>D267*H267/1000</f>
        <v>1.4395263157894737E-2</v>
      </c>
      <c r="L267" s="382">
        <v>90</v>
      </c>
      <c r="M267" s="133">
        <f>F267*H267/1000</f>
        <v>30</v>
      </c>
      <c r="N267" s="383">
        <v>90</v>
      </c>
      <c r="O267" s="191"/>
      <c r="P267" s="434"/>
      <c r="Q267" s="142"/>
      <c r="R267" s="434"/>
      <c r="S267" s="142"/>
      <c r="T267" s="434"/>
      <c r="U267" s="135"/>
      <c r="V267" s="428"/>
      <c r="W267" s="136">
        <f t="shared" si="227"/>
        <v>0</v>
      </c>
      <c r="X267" s="137"/>
      <c r="Y267" s="138">
        <f t="shared" si="233"/>
        <v>282.94092193634901</v>
      </c>
      <c r="Z267" s="138">
        <f t="shared" si="234"/>
        <v>2.8294092193634901</v>
      </c>
      <c r="AA267" s="143"/>
      <c r="AB267" s="140"/>
      <c r="AC267" s="140" t="str">
        <f>VLOOKUP(G267,$B$399:$C$431,2,FALSE)</f>
        <v>「H11年省エネ基準解説」IBEC</v>
      </c>
    </row>
    <row r="268" spans="1:32" ht="14.2" customHeight="1" thickBot="1" x14ac:dyDescent="0.3">
      <c r="A268" s="188" t="s">
        <v>170</v>
      </c>
      <c r="B268" s="189"/>
      <c r="C268" s="372"/>
      <c r="D268" s="130">
        <v>0.48</v>
      </c>
      <c r="E268" s="387">
        <v>21</v>
      </c>
      <c r="F268" s="131">
        <f t="shared" ref="F268" si="235">D268/(3600*10^-9/760*1.013*10^5)</f>
        <v>1000.3290556103982</v>
      </c>
      <c r="G268" s="391">
        <v>90</v>
      </c>
      <c r="H268" s="190">
        <v>10</v>
      </c>
      <c r="I268" s="129"/>
      <c r="J268" s="364"/>
      <c r="K268" s="157">
        <f>D268*H268/1000</f>
        <v>4.7999999999999996E-3</v>
      </c>
      <c r="L268" s="382">
        <v>90</v>
      </c>
      <c r="M268" s="133">
        <f>F268*H268/1000</f>
        <v>10.003290556103982</v>
      </c>
      <c r="N268" s="383">
        <v>90</v>
      </c>
      <c r="O268" s="191"/>
      <c r="P268" s="434"/>
      <c r="Q268" s="142"/>
      <c r="R268" s="434"/>
      <c r="S268" s="142"/>
      <c r="T268" s="434"/>
      <c r="U268" s="135"/>
      <c r="V268" s="428"/>
      <c r="W268" s="136">
        <f t="shared" si="227"/>
        <v>0</v>
      </c>
      <c r="X268" s="137"/>
      <c r="Y268" s="138">
        <f t="shared" si="233"/>
        <v>94.344675078041121</v>
      </c>
      <c r="Z268" s="138">
        <f t="shared" si="234"/>
        <v>0.94344675078041118</v>
      </c>
      <c r="AA268" s="143"/>
      <c r="AB268" s="140"/>
      <c r="AC268" s="140" t="str">
        <f>VLOOKUP(E268,$B$399:$C$431,2,FALSE)</f>
        <v>「H25年省エネ基準解説」IBEC</v>
      </c>
    </row>
    <row r="269" spans="1:32" ht="21" customHeight="1" thickTop="1" x14ac:dyDescent="0.25">
      <c r="A269" s="161" t="s">
        <v>130</v>
      </c>
      <c r="B269" s="162"/>
      <c r="C269" s="366"/>
      <c r="D269" s="163"/>
      <c r="E269" s="366"/>
      <c r="F269" s="162"/>
      <c r="G269" s="366"/>
      <c r="H269" s="162"/>
      <c r="I269" s="162"/>
      <c r="J269" s="366"/>
      <c r="K269" s="163"/>
      <c r="L269" s="366"/>
      <c r="M269" s="162"/>
      <c r="N269" s="366"/>
      <c r="O269" s="162"/>
      <c r="P269" s="366"/>
      <c r="Q269" s="162"/>
      <c r="R269" s="366"/>
      <c r="S269" s="162"/>
      <c r="T269" s="366"/>
      <c r="U269" s="162"/>
      <c r="V269" s="366"/>
      <c r="W269" s="164"/>
      <c r="X269" s="164"/>
      <c r="Y269" s="165"/>
      <c r="Z269" s="165"/>
      <c r="AA269" s="166"/>
    </row>
    <row r="270" spans="1:32" ht="14.2" customHeight="1" x14ac:dyDescent="0.25">
      <c r="A270" s="177" t="s">
        <v>131</v>
      </c>
      <c r="B270" s="145">
        <v>0.17</v>
      </c>
      <c r="C270" s="364">
        <v>54</v>
      </c>
      <c r="D270" s="130"/>
      <c r="E270" s="387"/>
      <c r="F270" s="146"/>
      <c r="G270" s="387"/>
      <c r="H270" s="199">
        <v>0.1</v>
      </c>
      <c r="I270" s="229"/>
      <c r="J270" s="372"/>
      <c r="K270" s="130">
        <v>8.2000000000000003E-2</v>
      </c>
      <c r="L270" s="416">
        <v>11</v>
      </c>
      <c r="M270" s="228">
        <v>170</v>
      </c>
      <c r="N270" s="387">
        <v>11</v>
      </c>
      <c r="O270" s="153">
        <v>910</v>
      </c>
      <c r="P270" s="430">
        <v>62</v>
      </c>
      <c r="Q270" s="155"/>
      <c r="R270" s="430"/>
      <c r="S270" s="155"/>
      <c r="T270" s="430"/>
      <c r="U270" s="135"/>
      <c r="V270" s="430"/>
      <c r="W270" s="136">
        <f t="shared" ref="W270:W311" si="236">SQRT(B270*O270*1000)</f>
        <v>393.31920878594275</v>
      </c>
      <c r="X270" s="136"/>
      <c r="Y270" s="138">
        <f t="shared" ref="Y270:Y273" si="237">K270/(H270/1000)*((2*10^-7*(20+273)^0.81/101325)*10^12)</f>
        <v>161172.15325832026</v>
      </c>
      <c r="Z270" s="138">
        <f t="shared" ref="Z270:Z273" si="238">Y270*(H270/1000)</f>
        <v>16.117215325832028</v>
      </c>
      <c r="AA270" s="154"/>
      <c r="AB270" s="140" t="str">
        <f>VLOOKUP(C270,$B$399:$C$431,2,FALSE)</f>
        <v>「健康なすまいへの道」建築資料研究社</v>
      </c>
      <c r="AC270" s="103" t="s">
        <v>346</v>
      </c>
      <c r="AD270" s="140" t="str">
        <f t="shared" ref="AD270:AD277" si="239">VLOOKUP(P270,$B$399:$C$431,2,FALSE)</f>
        <v>SolarDesigner6マニュアル</v>
      </c>
      <c r="AF270" s="103" t="s">
        <v>405</v>
      </c>
    </row>
    <row r="271" spans="1:32" ht="14.2" customHeight="1" x14ac:dyDescent="0.25">
      <c r="A271" s="167" t="s">
        <v>132</v>
      </c>
      <c r="B271" s="145">
        <v>0.17</v>
      </c>
      <c r="C271" s="364">
        <v>54</v>
      </c>
      <c r="D271" s="157"/>
      <c r="E271" s="383"/>
      <c r="F271" s="131"/>
      <c r="G271" s="383"/>
      <c r="H271" s="132">
        <v>0.2</v>
      </c>
      <c r="I271" s="129"/>
      <c r="J271" s="364"/>
      <c r="K271" s="157">
        <v>0.14399999999999999</v>
      </c>
      <c r="L271" s="382">
        <v>11</v>
      </c>
      <c r="M271" s="133">
        <v>300</v>
      </c>
      <c r="N271" s="383">
        <v>11</v>
      </c>
      <c r="O271" s="134">
        <v>910</v>
      </c>
      <c r="P271" s="428">
        <v>62</v>
      </c>
      <c r="Q271" s="135"/>
      <c r="R271" s="428"/>
      <c r="S271" s="135"/>
      <c r="T271" s="428"/>
      <c r="U271" s="135"/>
      <c r="V271" s="428"/>
      <c r="W271" s="136">
        <f t="shared" si="236"/>
        <v>393.31920878594275</v>
      </c>
      <c r="X271" s="136"/>
      <c r="Y271" s="138">
        <f t="shared" si="237"/>
        <v>141517.01261706167</v>
      </c>
      <c r="Z271" s="138">
        <f t="shared" si="238"/>
        <v>28.303402523412334</v>
      </c>
      <c r="AA271" s="144"/>
      <c r="AB271" s="140" t="str">
        <f>VLOOKUP(C271,$B$399:$C$431,2,FALSE)</f>
        <v>「健康なすまいへの道」建築資料研究社</v>
      </c>
      <c r="AC271" s="103" t="s">
        <v>346</v>
      </c>
      <c r="AD271" s="140" t="str">
        <f t="shared" si="239"/>
        <v>SolarDesigner6マニュアル</v>
      </c>
      <c r="AF271" s="103" t="s">
        <v>405</v>
      </c>
    </row>
    <row r="272" spans="1:32" ht="14.2" customHeight="1" x14ac:dyDescent="0.25">
      <c r="A272" s="167" t="s">
        <v>143</v>
      </c>
      <c r="B272" s="145"/>
      <c r="C272" s="364"/>
      <c r="D272" s="157"/>
      <c r="E272" s="383"/>
      <c r="F272" s="131"/>
      <c r="G272" s="383"/>
      <c r="H272" s="132">
        <v>0.1</v>
      </c>
      <c r="I272" s="129"/>
      <c r="J272" s="364"/>
      <c r="K272" s="157">
        <v>1.9000000000000001E-4</v>
      </c>
      <c r="L272" s="382">
        <v>11</v>
      </c>
      <c r="M272" s="133">
        <v>0.4</v>
      </c>
      <c r="N272" s="383">
        <v>11</v>
      </c>
      <c r="O272" s="134">
        <v>910</v>
      </c>
      <c r="P272" s="428">
        <v>62</v>
      </c>
      <c r="Q272" s="135"/>
      <c r="R272" s="428"/>
      <c r="S272" s="135"/>
      <c r="T272" s="428"/>
      <c r="U272" s="135"/>
      <c r="V272" s="428"/>
      <c r="W272" s="136">
        <f t="shared" si="236"/>
        <v>0</v>
      </c>
      <c r="X272" s="136"/>
      <c r="Y272" s="138">
        <f t="shared" si="237"/>
        <v>373.4476721839128</v>
      </c>
      <c r="Z272" s="138">
        <f t="shared" si="238"/>
        <v>3.7344767218391285E-2</v>
      </c>
      <c r="AA272" s="144"/>
      <c r="AB272" s="140"/>
      <c r="AC272" s="103" t="s">
        <v>346</v>
      </c>
      <c r="AD272" s="140" t="str">
        <f t="shared" si="239"/>
        <v>SolarDesigner6マニュアル</v>
      </c>
      <c r="AF272" s="230" t="s">
        <v>406</v>
      </c>
    </row>
    <row r="273" spans="1:32" ht="14.2" customHeight="1" x14ac:dyDescent="0.25">
      <c r="A273" s="167" t="s">
        <v>85</v>
      </c>
      <c r="B273" s="145">
        <v>0.14000000000000001</v>
      </c>
      <c r="C273" s="364">
        <v>51</v>
      </c>
      <c r="D273" s="157"/>
      <c r="E273" s="383"/>
      <c r="F273" s="131"/>
      <c r="G273" s="383"/>
      <c r="H273" s="132">
        <v>0.2</v>
      </c>
      <c r="I273" s="129">
        <f>H273/B273/1000</f>
        <v>1.4285714285714286E-3</v>
      </c>
      <c r="J273" s="364">
        <v>11</v>
      </c>
      <c r="K273" s="157">
        <v>2E-3</v>
      </c>
      <c r="L273" s="382">
        <v>11</v>
      </c>
      <c r="M273" s="133">
        <v>5</v>
      </c>
      <c r="N273" s="383">
        <v>11</v>
      </c>
      <c r="O273" s="134">
        <v>920</v>
      </c>
      <c r="P273" s="428">
        <v>62</v>
      </c>
      <c r="Q273" s="135">
        <f t="shared" ref="Q273:Q274" si="240">O273/S273</f>
        <v>1.2073490813648293</v>
      </c>
      <c r="R273" s="428">
        <v>90</v>
      </c>
      <c r="S273" s="135">
        <v>762</v>
      </c>
      <c r="T273" s="428">
        <v>51</v>
      </c>
      <c r="U273" s="135"/>
      <c r="V273" s="428"/>
      <c r="W273" s="136">
        <f t="shared" si="236"/>
        <v>358.88716889852725</v>
      </c>
      <c r="X273" s="136"/>
      <c r="Y273" s="138">
        <f t="shared" si="237"/>
        <v>1965.514064125857</v>
      </c>
      <c r="Z273" s="138">
        <f t="shared" si="238"/>
        <v>0.3931028128251714</v>
      </c>
      <c r="AA273" s="139"/>
      <c r="AB273" s="140" t="str">
        <f>VLOOKUP(C273,$B$399:$C$431,2,FALSE)</f>
        <v>「建物の結露」学芸出版社 (2003/04)</v>
      </c>
      <c r="AC273" s="103" t="s">
        <v>346</v>
      </c>
      <c r="AD273" s="140" t="str">
        <f t="shared" si="239"/>
        <v>SolarDesigner6マニュアル</v>
      </c>
      <c r="AF273" s="103" t="s">
        <v>402</v>
      </c>
    </row>
    <row r="274" spans="1:32" ht="14.2" customHeight="1" x14ac:dyDescent="0.25">
      <c r="A274" s="167" t="s">
        <v>83</v>
      </c>
      <c r="B274" s="145">
        <v>0.26700000000000002</v>
      </c>
      <c r="C274" s="364">
        <v>51</v>
      </c>
      <c r="D274" s="157"/>
      <c r="E274" s="383"/>
      <c r="F274" s="131"/>
      <c r="G274" s="383"/>
      <c r="H274" s="132">
        <v>0.2</v>
      </c>
      <c r="I274" s="129">
        <f>H274/B274/1000</f>
        <v>7.4906367041198505E-4</v>
      </c>
      <c r="J274" s="364">
        <v>11</v>
      </c>
      <c r="K274" s="157">
        <f>M274*3600*1000/760*1.013*10^5*10^-12</f>
        <v>0.14395263157894736</v>
      </c>
      <c r="L274" s="382">
        <v>11</v>
      </c>
      <c r="M274" s="133">
        <v>300</v>
      </c>
      <c r="N274" s="383">
        <v>11</v>
      </c>
      <c r="O274" s="134">
        <v>930</v>
      </c>
      <c r="P274" s="428">
        <v>62</v>
      </c>
      <c r="Q274" s="135">
        <f t="shared" si="240"/>
        <v>1.0108695652173914</v>
      </c>
      <c r="R274" s="428">
        <v>90</v>
      </c>
      <c r="S274" s="135">
        <v>920</v>
      </c>
      <c r="T274" s="428">
        <v>51</v>
      </c>
      <c r="U274" s="135"/>
      <c r="V274" s="428"/>
      <c r="W274" s="136">
        <f t="shared" si="236"/>
        <v>498.3071342054015</v>
      </c>
      <c r="X274" s="136"/>
      <c r="Y274" s="138">
        <f t="shared" ref="Y274" si="241">K274/0.001*((2*10^-7*(20+273)^0.81/101325)*10^12)</f>
        <v>28294.092193634897</v>
      </c>
      <c r="Z274" s="138">
        <f t="shared" ref="Z274" si="242">Y274*0.001</f>
        <v>28.294092193634896</v>
      </c>
      <c r="AA274" s="139"/>
      <c r="AB274" s="140" t="str">
        <f>VLOOKUP(C274,$B$399:$C$431,2,FALSE)</f>
        <v>「建物の結露」学芸出版社 (2003/04)</v>
      </c>
      <c r="AC274" s="103" t="s">
        <v>346</v>
      </c>
      <c r="AD274" s="140" t="str">
        <f t="shared" si="239"/>
        <v>SolarDesigner6マニュアル</v>
      </c>
      <c r="AF274" s="103" t="s">
        <v>402</v>
      </c>
    </row>
    <row r="275" spans="1:32" ht="14.2" customHeight="1" x14ac:dyDescent="0.25">
      <c r="A275" s="451" t="s">
        <v>520</v>
      </c>
      <c r="B275" s="145"/>
      <c r="C275" s="364"/>
      <c r="D275" s="157"/>
      <c r="E275" s="383"/>
      <c r="F275" s="131"/>
      <c r="G275" s="383"/>
      <c r="H275" s="132">
        <v>0.2</v>
      </c>
      <c r="I275" s="129"/>
      <c r="J275" s="364"/>
      <c r="K275" s="157">
        <v>1.2E-4</v>
      </c>
      <c r="L275" s="382">
        <v>71</v>
      </c>
      <c r="M275" s="133">
        <f t="shared" ref="M275:M302" si="243">K275*1000000000*0.00750062/3600</f>
        <v>0.25002066666666667</v>
      </c>
      <c r="N275" s="383">
        <v>90</v>
      </c>
      <c r="O275" s="134">
        <v>940</v>
      </c>
      <c r="P275" s="428">
        <v>62</v>
      </c>
      <c r="Q275" s="135"/>
      <c r="R275" s="428"/>
      <c r="S275" s="135"/>
      <c r="T275" s="428"/>
      <c r="U275" s="135"/>
      <c r="V275" s="428"/>
      <c r="W275" s="136">
        <f t="shared" si="236"/>
        <v>0</v>
      </c>
      <c r="X275" s="136"/>
      <c r="Y275" s="138">
        <f t="shared" ref="Y275:Y276" si="244">K275/(H275/1000)*((2*10^-7*(20+273)^0.81/101325)*10^12)</f>
        <v>117.93084384755142</v>
      </c>
      <c r="Z275" s="138">
        <f t="shared" ref="Z275:Z276" si="245">Y275*(H275/1000)</f>
        <v>2.3586168769510283E-2</v>
      </c>
      <c r="AA275" s="139" t="s">
        <v>728</v>
      </c>
      <c r="AB275" s="140"/>
      <c r="AC275" s="140" t="str">
        <f>VLOOKUP(L275,$B$399:$C$431,2,FALSE)</f>
        <v>メーカー公表値</v>
      </c>
      <c r="AD275" s="140" t="str">
        <f t="shared" si="239"/>
        <v>SolarDesigner6マニュアル</v>
      </c>
    </row>
    <row r="276" spans="1:32" ht="14.2" customHeight="1" x14ac:dyDescent="0.25">
      <c r="A276" s="451" t="s">
        <v>525</v>
      </c>
      <c r="B276" s="145"/>
      <c r="C276" s="364"/>
      <c r="D276" s="157"/>
      <c r="E276" s="383"/>
      <c r="F276" s="131"/>
      <c r="G276" s="383"/>
      <c r="H276" s="132">
        <v>0.2</v>
      </c>
      <c r="I276" s="129"/>
      <c r="J276" s="364"/>
      <c r="K276" s="157">
        <v>1.7000000000000001E-4</v>
      </c>
      <c r="L276" s="382">
        <v>71</v>
      </c>
      <c r="M276" s="133">
        <f t="shared" si="243"/>
        <v>0.35419594444444447</v>
      </c>
      <c r="N276" s="383">
        <v>90</v>
      </c>
      <c r="O276" s="134">
        <v>940</v>
      </c>
      <c r="P276" s="428">
        <v>62</v>
      </c>
      <c r="Q276" s="135"/>
      <c r="R276" s="428"/>
      <c r="S276" s="135"/>
      <c r="T276" s="428"/>
      <c r="U276" s="135"/>
      <c r="V276" s="428"/>
      <c r="W276" s="136">
        <f t="shared" si="236"/>
        <v>0</v>
      </c>
      <c r="X276" s="136"/>
      <c r="Y276" s="138">
        <f t="shared" si="244"/>
        <v>167.06869545069785</v>
      </c>
      <c r="Z276" s="138">
        <f t="shared" si="245"/>
        <v>3.3413739090139567E-2</v>
      </c>
      <c r="AA276" s="139" t="s">
        <v>728</v>
      </c>
      <c r="AB276" s="140"/>
      <c r="AC276" s="140" t="str">
        <f>VLOOKUP(L276,$B$399:$C$431,2,FALSE)</f>
        <v>メーカー公表値</v>
      </c>
      <c r="AD276" s="140" t="str">
        <f t="shared" si="239"/>
        <v>SolarDesigner6マニュアル</v>
      </c>
    </row>
    <row r="277" spans="1:32" ht="14.2" customHeight="1" x14ac:dyDescent="0.25">
      <c r="A277" s="451" t="s">
        <v>521</v>
      </c>
      <c r="B277" s="145"/>
      <c r="C277" s="364"/>
      <c r="D277" s="157"/>
      <c r="E277" s="383"/>
      <c r="F277" s="131"/>
      <c r="G277" s="383"/>
      <c r="H277" s="132">
        <v>0.2</v>
      </c>
      <c r="I277" s="129"/>
      <c r="J277" s="364"/>
      <c r="K277" s="157">
        <v>1.7000000000000001E-4</v>
      </c>
      <c r="L277" s="382">
        <v>71</v>
      </c>
      <c r="M277" s="133">
        <f t="shared" si="243"/>
        <v>0.35419594444444447</v>
      </c>
      <c r="N277" s="383">
        <v>90</v>
      </c>
      <c r="O277" s="134">
        <v>940</v>
      </c>
      <c r="P277" s="428">
        <v>62</v>
      </c>
      <c r="Q277" s="135"/>
      <c r="R277" s="428"/>
      <c r="S277" s="135"/>
      <c r="T277" s="428"/>
      <c r="U277" s="135"/>
      <c r="V277" s="428"/>
      <c r="W277" s="136">
        <f t="shared" si="236"/>
        <v>0</v>
      </c>
      <c r="X277" s="136"/>
      <c r="Y277" s="138">
        <f t="shared" ref="Y277" si="246">K277/0.001*((2*10^-7*(20+273)^0.81/101325)*10^12)</f>
        <v>33.413739090139572</v>
      </c>
      <c r="Z277" s="138">
        <f t="shared" ref="Z277" si="247">Y277*0.001</f>
        <v>3.3413739090139574E-2</v>
      </c>
      <c r="AA277" s="139" t="s">
        <v>728</v>
      </c>
      <c r="AB277" s="140"/>
      <c r="AC277" s="140" t="str">
        <f>VLOOKUP(L277,$B$399:$C$431,2,FALSE)</f>
        <v>メーカー公表値</v>
      </c>
      <c r="AD277" s="140" t="str">
        <f t="shared" si="239"/>
        <v>SolarDesigner6マニュアル</v>
      </c>
    </row>
    <row r="278" spans="1:32" ht="14.2" customHeight="1" x14ac:dyDescent="0.25">
      <c r="A278" s="451" t="s">
        <v>522</v>
      </c>
      <c r="B278" s="145"/>
      <c r="C278" s="364"/>
      <c r="D278" s="157"/>
      <c r="E278" s="383"/>
      <c r="F278" s="131"/>
      <c r="G278" s="383"/>
      <c r="H278" s="132">
        <v>0.4</v>
      </c>
      <c r="I278" s="129"/>
      <c r="J278" s="364"/>
      <c r="K278" s="157">
        <v>3.8999999999999999E-4</v>
      </c>
      <c r="L278" s="382">
        <v>71</v>
      </c>
      <c r="M278" s="133">
        <f t="shared" ref="M278" si="248">K278*1000000000*0.00750062/3600</f>
        <v>0.81256716666666673</v>
      </c>
      <c r="N278" s="383">
        <v>91</v>
      </c>
      <c r="O278" s="134"/>
      <c r="P278" s="428"/>
      <c r="Q278" s="135"/>
      <c r="R278" s="428"/>
      <c r="S278" s="135"/>
      <c r="T278" s="428"/>
      <c r="U278" s="135"/>
      <c r="V278" s="428"/>
      <c r="W278" s="136"/>
      <c r="X278" s="136"/>
      <c r="Y278" s="138"/>
      <c r="Z278" s="138"/>
      <c r="AA278" s="139" t="s">
        <v>728</v>
      </c>
      <c r="AB278" s="140"/>
      <c r="AC278" s="140"/>
      <c r="AD278" s="140"/>
    </row>
    <row r="279" spans="1:32" ht="14.2" customHeight="1" x14ac:dyDescent="0.25">
      <c r="A279" s="451" t="s">
        <v>703</v>
      </c>
      <c r="B279" s="145"/>
      <c r="C279" s="364"/>
      <c r="D279" s="157"/>
      <c r="E279" s="383"/>
      <c r="F279" s="131"/>
      <c r="G279" s="383"/>
      <c r="H279" s="132">
        <v>0.6</v>
      </c>
      <c r="I279" s="129"/>
      <c r="J279" s="364"/>
      <c r="K279" s="157">
        <v>2.7999999999999998E-4</v>
      </c>
      <c r="L279" s="382">
        <v>71</v>
      </c>
      <c r="M279" s="133">
        <f t="shared" ref="M279:M280" si="249">K279*1000000000*0.00750062/3600</f>
        <v>0.5833815555555556</v>
      </c>
      <c r="N279" s="383">
        <v>90</v>
      </c>
      <c r="O279" s="134"/>
      <c r="P279" s="428"/>
      <c r="Q279" s="135"/>
      <c r="R279" s="428"/>
      <c r="S279" s="135"/>
      <c r="T279" s="428"/>
      <c r="U279" s="135"/>
      <c r="V279" s="428"/>
      <c r="W279" s="136"/>
      <c r="X279" s="136"/>
      <c r="Y279" s="138"/>
      <c r="Z279" s="138"/>
      <c r="AA279" s="139" t="s">
        <v>704</v>
      </c>
      <c r="AB279" s="140"/>
      <c r="AC279" s="140"/>
      <c r="AD279" s="140"/>
    </row>
    <row r="280" spans="1:32" ht="14.2" customHeight="1" x14ac:dyDescent="0.25">
      <c r="A280" s="451" t="s">
        <v>705</v>
      </c>
      <c r="B280" s="145"/>
      <c r="C280" s="364"/>
      <c r="D280" s="157"/>
      <c r="E280" s="383"/>
      <c r="F280" s="131"/>
      <c r="G280" s="383"/>
      <c r="H280" s="132">
        <v>0.5</v>
      </c>
      <c r="I280" s="129"/>
      <c r="J280" s="364"/>
      <c r="K280" s="157">
        <v>4.4000000000000002E-4</v>
      </c>
      <c r="L280" s="382">
        <v>71</v>
      </c>
      <c r="M280" s="133">
        <f t="shared" si="249"/>
        <v>0.91674244444444453</v>
      </c>
      <c r="N280" s="383">
        <v>90</v>
      </c>
      <c r="O280" s="134"/>
      <c r="P280" s="428"/>
      <c r="Q280" s="135"/>
      <c r="R280" s="428"/>
      <c r="S280" s="135"/>
      <c r="T280" s="428"/>
      <c r="U280" s="135"/>
      <c r="V280" s="428"/>
      <c r="W280" s="136"/>
      <c r="X280" s="136"/>
      <c r="Y280" s="138"/>
      <c r="Z280" s="138"/>
      <c r="AA280" s="139" t="s">
        <v>706</v>
      </c>
      <c r="AB280" s="140"/>
      <c r="AC280" s="140"/>
      <c r="AD280" s="140"/>
    </row>
    <row r="281" spans="1:32" ht="14.2" customHeight="1" x14ac:dyDescent="0.25">
      <c r="A281" s="451" t="s">
        <v>524</v>
      </c>
      <c r="B281" s="145"/>
      <c r="C281" s="364"/>
      <c r="D281" s="157"/>
      <c r="E281" s="383"/>
      <c r="F281" s="131"/>
      <c r="G281" s="383"/>
      <c r="H281" s="132">
        <v>0.2</v>
      </c>
      <c r="I281" s="129"/>
      <c r="J281" s="364"/>
      <c r="K281" s="157">
        <v>1.2E-4</v>
      </c>
      <c r="L281" s="382">
        <v>71</v>
      </c>
      <c r="M281" s="133">
        <f t="shared" si="243"/>
        <v>0.25002066666666667</v>
      </c>
      <c r="N281" s="383">
        <v>90</v>
      </c>
      <c r="O281" s="134">
        <v>940</v>
      </c>
      <c r="P281" s="428">
        <v>62</v>
      </c>
      <c r="Q281" s="135"/>
      <c r="R281" s="428"/>
      <c r="S281" s="135"/>
      <c r="T281" s="428"/>
      <c r="U281" s="135"/>
      <c r="V281" s="428"/>
      <c r="W281" s="136">
        <f t="shared" si="236"/>
        <v>0</v>
      </c>
      <c r="X281" s="136"/>
      <c r="Y281" s="138">
        <f t="shared" ref="Y281:Y282" si="250">K281/(H281/1000)*((2*10^-7*(20+273)^0.81/101325)*10^12)</f>
        <v>117.93084384755142</v>
      </c>
      <c r="Z281" s="138">
        <f t="shared" ref="Z281:Z282" si="251">Y281*(H281/1000)</f>
        <v>2.3586168769510283E-2</v>
      </c>
      <c r="AA281" s="160" t="s">
        <v>519</v>
      </c>
      <c r="AB281" s="140"/>
      <c r="AC281" s="140" t="str">
        <f>VLOOKUP(L281,$B$399:$C$431,2,FALSE)</f>
        <v>メーカー公表値</v>
      </c>
      <c r="AD281" s="140" t="str">
        <f>VLOOKUP(P281,$B$399:$C$431,2,FALSE)</f>
        <v>SolarDesigner6マニュアル</v>
      </c>
    </row>
    <row r="282" spans="1:32" ht="14.2" customHeight="1" x14ac:dyDescent="0.25">
      <c r="A282" s="451" t="s">
        <v>523</v>
      </c>
      <c r="B282" s="145"/>
      <c r="C282" s="364"/>
      <c r="D282" s="157"/>
      <c r="E282" s="383"/>
      <c r="F282" s="131"/>
      <c r="G282" s="383"/>
      <c r="H282" s="132">
        <v>0.2</v>
      </c>
      <c r="I282" s="129"/>
      <c r="J282" s="364"/>
      <c r="K282" s="157">
        <v>1.1E-4</v>
      </c>
      <c r="L282" s="382">
        <v>71</v>
      </c>
      <c r="M282" s="133">
        <f t="shared" si="243"/>
        <v>0.22918561111111113</v>
      </c>
      <c r="N282" s="383">
        <v>90</v>
      </c>
      <c r="O282" s="134">
        <v>940</v>
      </c>
      <c r="P282" s="428">
        <v>62</v>
      </c>
      <c r="Q282" s="135"/>
      <c r="R282" s="428"/>
      <c r="S282" s="135"/>
      <c r="T282" s="428"/>
      <c r="U282" s="135"/>
      <c r="V282" s="428"/>
      <c r="W282" s="136">
        <f t="shared" si="236"/>
        <v>0</v>
      </c>
      <c r="X282" s="136"/>
      <c r="Y282" s="138">
        <f t="shared" si="250"/>
        <v>108.10327352692214</v>
      </c>
      <c r="Z282" s="138">
        <f t="shared" si="251"/>
        <v>2.1620654705384428E-2</v>
      </c>
      <c r="AA282" s="160" t="s">
        <v>519</v>
      </c>
      <c r="AB282" s="140"/>
      <c r="AC282" s="140" t="str">
        <f>VLOOKUP(L282,$B$399:$C$431,2,FALSE)</f>
        <v>メーカー公表値</v>
      </c>
      <c r="AD282" s="140" t="str">
        <f>VLOOKUP(P282,$B$399:$C$431,2,FALSE)</f>
        <v>SolarDesigner6マニュアル</v>
      </c>
    </row>
    <row r="283" spans="1:32" ht="14.2" customHeight="1" x14ac:dyDescent="0.25">
      <c r="A283" s="451" t="s">
        <v>522</v>
      </c>
      <c r="B283" s="145"/>
      <c r="C283" s="364"/>
      <c r="D283" s="157"/>
      <c r="E283" s="383"/>
      <c r="F283" s="131"/>
      <c r="G283" s="383"/>
      <c r="H283" s="132">
        <v>0.2</v>
      </c>
      <c r="I283" s="129"/>
      <c r="J283" s="364"/>
      <c r="K283" s="157">
        <v>3.2000000000000003E-4</v>
      </c>
      <c r="L283" s="382">
        <v>71</v>
      </c>
      <c r="M283" s="133">
        <f t="shared" si="243"/>
        <v>0.66672177777777786</v>
      </c>
      <c r="N283" s="383">
        <v>90</v>
      </c>
      <c r="O283" s="134">
        <v>940</v>
      </c>
      <c r="P283" s="428">
        <v>62</v>
      </c>
      <c r="Q283" s="135"/>
      <c r="R283" s="428"/>
      <c r="S283" s="135"/>
      <c r="T283" s="428"/>
      <c r="U283" s="135"/>
      <c r="V283" s="428"/>
      <c r="W283" s="136">
        <f t="shared" si="236"/>
        <v>0</v>
      </c>
      <c r="X283" s="136"/>
      <c r="Y283" s="138">
        <f t="shared" ref="Y283" si="252">K283/0.001*((2*10^-7*(20+273)^0.81/101325)*10^12)</f>
        <v>62.896450052027426</v>
      </c>
      <c r="Z283" s="138">
        <f t="shared" ref="Z283" si="253">Y283*0.001</f>
        <v>6.2896450052027431E-2</v>
      </c>
      <c r="AA283" s="139" t="s">
        <v>728</v>
      </c>
      <c r="AB283" s="140"/>
      <c r="AC283" s="140" t="str">
        <f>VLOOKUP(L283,$B$399:$C$431,2,FALSE)</f>
        <v>メーカー公表値</v>
      </c>
      <c r="AD283" s="140" t="str">
        <f>VLOOKUP(P283,$B$399:$C$431,2,FALSE)</f>
        <v>SolarDesigner6マニュアル</v>
      </c>
    </row>
    <row r="284" spans="1:32" ht="14.2" customHeight="1" x14ac:dyDescent="0.25">
      <c r="A284" s="451" t="s">
        <v>526</v>
      </c>
      <c r="B284" s="145"/>
      <c r="C284" s="364"/>
      <c r="D284" s="157"/>
      <c r="E284" s="383"/>
      <c r="F284" s="131"/>
      <c r="G284" s="383"/>
      <c r="H284" s="132">
        <v>0.2</v>
      </c>
      <c r="I284" s="129"/>
      <c r="J284" s="364"/>
      <c r="K284" s="157">
        <v>1.2E-4</v>
      </c>
      <c r="L284" s="382">
        <v>71</v>
      </c>
      <c r="M284" s="133">
        <f t="shared" si="243"/>
        <v>0.25002066666666667</v>
      </c>
      <c r="N284" s="383">
        <v>90</v>
      </c>
      <c r="O284" s="134">
        <v>940</v>
      </c>
      <c r="P284" s="428">
        <v>62</v>
      </c>
      <c r="Q284" s="135"/>
      <c r="R284" s="428"/>
      <c r="S284" s="135"/>
      <c r="T284" s="428"/>
      <c r="U284" s="135"/>
      <c r="V284" s="428"/>
      <c r="W284" s="136">
        <f t="shared" si="236"/>
        <v>0</v>
      </c>
      <c r="X284" s="136"/>
      <c r="Y284" s="138">
        <f t="shared" ref="Y284" si="254">K284/(H284/1000)*((2*10^-7*(20+273)^0.81/101325)*10^12)</f>
        <v>117.93084384755142</v>
      </c>
      <c r="Z284" s="138">
        <f t="shared" ref="Z284" si="255">Y284*(H284/1000)</f>
        <v>2.3586168769510283E-2</v>
      </c>
      <c r="AA284" s="160" t="s">
        <v>519</v>
      </c>
      <c r="AB284" s="140"/>
      <c r="AC284" s="140" t="str">
        <f>VLOOKUP(L284,$B$399:$C$431,2,FALSE)</f>
        <v>メーカー公表値</v>
      </c>
      <c r="AD284" s="140" t="str">
        <f>VLOOKUP(P284,$B$399:$C$431,2,FALSE)</f>
        <v>SolarDesigner6マニュアル</v>
      </c>
    </row>
    <row r="285" spans="1:32" ht="14.2" customHeight="1" x14ac:dyDescent="0.25">
      <c r="A285" s="231" t="s">
        <v>729</v>
      </c>
      <c r="B285" s="232"/>
      <c r="C285" s="373"/>
      <c r="D285" s="233"/>
      <c r="E285" s="407"/>
      <c r="F285" s="270"/>
      <c r="G285" s="392"/>
      <c r="H285" s="132">
        <v>0.2</v>
      </c>
      <c r="I285" s="271"/>
      <c r="J285" s="373"/>
      <c r="K285" s="157">
        <v>8.2000000000000003E-2</v>
      </c>
      <c r="L285" s="382">
        <v>71</v>
      </c>
      <c r="M285" s="133">
        <f t="shared" ref="M285:M299" si="256">K285*1000000000*0.00750062/3600</f>
        <v>170.84745555555557</v>
      </c>
      <c r="N285" s="383">
        <v>90</v>
      </c>
      <c r="O285" s="134"/>
      <c r="P285" s="428"/>
      <c r="Q285" s="135"/>
      <c r="R285" s="428"/>
      <c r="S285" s="135"/>
      <c r="T285" s="428"/>
      <c r="U285" s="135"/>
      <c r="V285" s="428"/>
      <c r="W285" s="136"/>
      <c r="X285" s="136"/>
      <c r="Y285" s="138"/>
      <c r="Z285" s="138"/>
      <c r="AA285" s="160" t="s">
        <v>719</v>
      </c>
      <c r="AB285" s="140"/>
      <c r="AC285" s="140" t="str">
        <f>VLOOKUP(L285,$B$399:$C$431,2,FALSE)</f>
        <v>メーカー公表値</v>
      </c>
      <c r="AD285" s="140"/>
    </row>
    <row r="286" spans="1:32" ht="14.2" customHeight="1" x14ac:dyDescent="0.25">
      <c r="A286" s="231" t="s">
        <v>737</v>
      </c>
      <c r="B286" s="232"/>
      <c r="C286" s="373"/>
      <c r="D286" s="233"/>
      <c r="E286" s="392"/>
      <c r="F286" s="237"/>
      <c r="G286" s="392"/>
      <c r="H286" s="132">
        <v>0.2</v>
      </c>
      <c r="I286" s="232"/>
      <c r="J286" s="373"/>
      <c r="K286" s="157">
        <v>3.63E-3</v>
      </c>
      <c r="L286" s="382">
        <v>71</v>
      </c>
      <c r="M286" s="133">
        <f t="shared" si="256"/>
        <v>7.5631251666666675</v>
      </c>
      <c r="N286" s="383">
        <v>90</v>
      </c>
      <c r="O286" s="134"/>
      <c r="P286" s="428"/>
      <c r="Q286" s="135"/>
      <c r="R286" s="428"/>
      <c r="S286" s="135"/>
      <c r="T286" s="428"/>
      <c r="U286" s="135"/>
      <c r="V286" s="428"/>
      <c r="W286" s="136"/>
      <c r="X286" s="136"/>
      <c r="Y286" s="138"/>
      <c r="Z286" s="138"/>
      <c r="AA286" s="160" t="s">
        <v>719</v>
      </c>
      <c r="AB286" s="140"/>
      <c r="AC286" s="140"/>
      <c r="AD286" s="140"/>
    </row>
    <row r="287" spans="1:32" ht="14.2" customHeight="1" x14ac:dyDescent="0.25">
      <c r="A287" s="231" t="s">
        <v>730</v>
      </c>
      <c r="B287" s="232"/>
      <c r="C287" s="373"/>
      <c r="D287" s="233"/>
      <c r="E287" s="407"/>
      <c r="F287" s="270"/>
      <c r="G287" s="392"/>
      <c r="H287" s="132">
        <v>0.2</v>
      </c>
      <c r="I287" s="271"/>
      <c r="J287" s="373"/>
      <c r="K287" s="157">
        <v>9.0999999999999998E-2</v>
      </c>
      <c r="L287" s="382">
        <v>71</v>
      </c>
      <c r="M287" s="133">
        <f t="shared" si="256"/>
        <v>189.59900555555558</v>
      </c>
      <c r="N287" s="383">
        <v>90</v>
      </c>
      <c r="O287" s="134"/>
      <c r="P287" s="428"/>
      <c r="Q287" s="135"/>
      <c r="R287" s="428"/>
      <c r="S287" s="135"/>
      <c r="T287" s="428"/>
      <c r="U287" s="135"/>
      <c r="V287" s="428"/>
      <c r="W287" s="136"/>
      <c r="X287" s="136"/>
      <c r="Y287" s="138"/>
      <c r="Z287" s="138"/>
      <c r="AA287" s="160" t="s">
        <v>719</v>
      </c>
      <c r="AB287" s="140"/>
      <c r="AC287" s="140"/>
      <c r="AD287" s="140"/>
    </row>
    <row r="288" spans="1:32" ht="14.2" customHeight="1" x14ac:dyDescent="0.25">
      <c r="A288" s="231" t="s">
        <v>738</v>
      </c>
      <c r="B288" s="232"/>
      <c r="C288" s="373"/>
      <c r="D288" s="233"/>
      <c r="E288" s="392"/>
      <c r="F288" s="237"/>
      <c r="G288" s="392"/>
      <c r="H288" s="132">
        <v>0.2</v>
      </c>
      <c r="I288" s="232"/>
      <c r="J288" s="373"/>
      <c r="K288" s="157">
        <v>2.32E-3</v>
      </c>
      <c r="L288" s="382">
        <v>71</v>
      </c>
      <c r="M288" s="133">
        <f t="shared" si="256"/>
        <v>4.8337328888888891</v>
      </c>
      <c r="N288" s="383">
        <v>90</v>
      </c>
      <c r="O288" s="134"/>
      <c r="P288" s="428"/>
      <c r="Q288" s="135"/>
      <c r="R288" s="428"/>
      <c r="S288" s="135"/>
      <c r="T288" s="428"/>
      <c r="U288" s="135"/>
      <c r="V288" s="428"/>
      <c r="W288" s="136"/>
      <c r="X288" s="136"/>
      <c r="Y288" s="138"/>
      <c r="Z288" s="138"/>
      <c r="AA288" s="160" t="s">
        <v>719</v>
      </c>
      <c r="AB288" s="140"/>
      <c r="AC288" s="140"/>
      <c r="AD288" s="140"/>
    </row>
    <row r="289" spans="1:30" ht="14.2" customHeight="1" x14ac:dyDescent="0.25">
      <c r="A289" s="231" t="s">
        <v>731</v>
      </c>
      <c r="B289" s="232"/>
      <c r="C289" s="373"/>
      <c r="D289" s="157"/>
      <c r="E289" s="383"/>
      <c r="F289" s="131"/>
      <c r="G289" s="383"/>
      <c r="H289" s="132">
        <v>0.2</v>
      </c>
      <c r="I289" s="271"/>
      <c r="J289" s="373"/>
      <c r="K289" s="157">
        <v>0.11</v>
      </c>
      <c r="L289" s="382">
        <v>90</v>
      </c>
      <c r="M289" s="133">
        <f t="shared" si="256"/>
        <v>229.18561111111114</v>
      </c>
      <c r="N289" s="383">
        <v>90</v>
      </c>
      <c r="O289" s="134"/>
      <c r="P289" s="428"/>
      <c r="Q289" s="135"/>
      <c r="R289" s="428"/>
      <c r="S289" s="135"/>
      <c r="T289" s="428"/>
      <c r="U289" s="135"/>
      <c r="V289" s="428"/>
      <c r="W289" s="136"/>
      <c r="X289" s="136"/>
      <c r="Y289" s="138"/>
      <c r="Z289" s="138"/>
      <c r="AA289" s="160" t="s">
        <v>720</v>
      </c>
      <c r="AB289" s="140"/>
      <c r="AC289" s="140"/>
      <c r="AD289" s="140"/>
    </row>
    <row r="290" spans="1:30" ht="14.2" customHeight="1" x14ac:dyDescent="0.25">
      <c r="A290" s="231" t="s">
        <v>739</v>
      </c>
      <c r="B290" s="232"/>
      <c r="C290" s="373"/>
      <c r="D290" s="157"/>
      <c r="E290" s="383"/>
      <c r="F290" s="131"/>
      <c r="G290" s="383"/>
      <c r="H290" s="132">
        <v>0.2</v>
      </c>
      <c r="I290" s="232"/>
      <c r="J290" s="373"/>
      <c r="K290" s="157">
        <v>3.3E-4</v>
      </c>
      <c r="L290" s="382">
        <v>71</v>
      </c>
      <c r="M290" s="133">
        <f t="shared" si="256"/>
        <v>0.68755683333333339</v>
      </c>
      <c r="N290" s="383">
        <v>90</v>
      </c>
      <c r="O290" s="134"/>
      <c r="P290" s="428"/>
      <c r="Q290" s="135"/>
      <c r="R290" s="428"/>
      <c r="S290" s="135"/>
      <c r="T290" s="428"/>
      <c r="U290" s="135"/>
      <c r="V290" s="428"/>
      <c r="W290" s="136"/>
      <c r="X290" s="136"/>
      <c r="Y290" s="138"/>
      <c r="Z290" s="138"/>
      <c r="AA290" s="160" t="s">
        <v>720</v>
      </c>
      <c r="AB290" s="140"/>
      <c r="AC290" s="140"/>
      <c r="AD290" s="140"/>
    </row>
    <row r="291" spans="1:30" ht="14.2" customHeight="1" x14ac:dyDescent="0.25">
      <c r="A291" s="231" t="s">
        <v>732</v>
      </c>
      <c r="B291" s="232"/>
      <c r="C291" s="373"/>
      <c r="D291" s="233"/>
      <c r="E291" s="407"/>
      <c r="F291" s="270"/>
      <c r="G291" s="392"/>
      <c r="H291" s="132">
        <v>0.2</v>
      </c>
      <c r="I291" s="271"/>
      <c r="J291" s="373"/>
      <c r="K291" s="157">
        <v>7.0000000000000007E-2</v>
      </c>
      <c r="L291" s="382">
        <v>71</v>
      </c>
      <c r="M291" s="133">
        <f t="shared" si="256"/>
        <v>145.84538888888889</v>
      </c>
      <c r="N291" s="383">
        <v>90</v>
      </c>
      <c r="O291" s="134"/>
      <c r="P291" s="428"/>
      <c r="Q291" s="135"/>
      <c r="R291" s="428"/>
      <c r="S291" s="135"/>
      <c r="T291" s="428"/>
      <c r="U291" s="135"/>
      <c r="V291" s="428"/>
      <c r="W291" s="136"/>
      <c r="X291" s="136"/>
      <c r="Y291" s="138"/>
      <c r="Z291" s="138"/>
      <c r="AA291" s="160" t="s">
        <v>721</v>
      </c>
      <c r="AB291" s="140"/>
      <c r="AC291" s="140"/>
      <c r="AD291" s="140"/>
    </row>
    <row r="292" spans="1:30" ht="14.2" customHeight="1" x14ac:dyDescent="0.25">
      <c r="A292" s="231" t="s">
        <v>740</v>
      </c>
      <c r="B292" s="232"/>
      <c r="C292" s="373"/>
      <c r="D292" s="233"/>
      <c r="E292" s="392"/>
      <c r="F292" s="237"/>
      <c r="G292" s="392"/>
      <c r="H292" s="132">
        <v>0.2</v>
      </c>
      <c r="I292" s="232"/>
      <c r="J292" s="373"/>
      <c r="K292" s="157">
        <v>1.1199999999999999E-3</v>
      </c>
      <c r="L292" s="382">
        <v>71</v>
      </c>
      <c r="M292" s="133">
        <f t="shared" si="256"/>
        <v>2.3335262222222224</v>
      </c>
      <c r="N292" s="383">
        <v>90</v>
      </c>
      <c r="O292" s="134"/>
      <c r="P292" s="428"/>
      <c r="Q292" s="135"/>
      <c r="R292" s="428"/>
      <c r="S292" s="135"/>
      <c r="T292" s="428"/>
      <c r="U292" s="135"/>
      <c r="V292" s="428"/>
      <c r="W292" s="136"/>
      <c r="X292" s="136"/>
      <c r="Y292" s="138"/>
      <c r="Z292" s="138"/>
      <c r="AA292" s="160" t="s">
        <v>721</v>
      </c>
      <c r="AB292" s="140"/>
      <c r="AC292" s="140"/>
      <c r="AD292" s="140"/>
    </row>
    <row r="293" spans="1:30" ht="14.2" customHeight="1" x14ac:dyDescent="0.25">
      <c r="A293" s="231" t="s">
        <v>733</v>
      </c>
      <c r="B293" s="145"/>
      <c r="C293" s="364"/>
      <c r="D293" s="233"/>
      <c r="E293" s="407"/>
      <c r="F293" s="270"/>
      <c r="G293" s="392"/>
      <c r="H293" s="132">
        <v>0.2</v>
      </c>
      <c r="I293" s="251"/>
      <c r="J293" s="369"/>
      <c r="K293" s="157">
        <v>0.23</v>
      </c>
      <c r="L293" s="382">
        <v>71</v>
      </c>
      <c r="M293" s="133">
        <f t="shared" si="256"/>
        <v>479.20627777777781</v>
      </c>
      <c r="N293" s="383">
        <v>90</v>
      </c>
      <c r="O293" s="134"/>
      <c r="P293" s="428"/>
      <c r="Q293" s="135"/>
      <c r="R293" s="428"/>
      <c r="S293" s="135"/>
      <c r="T293" s="428"/>
      <c r="U293" s="135"/>
      <c r="V293" s="428"/>
      <c r="W293" s="136"/>
      <c r="X293" s="136"/>
      <c r="Y293" s="138"/>
      <c r="Z293" s="138"/>
      <c r="AA293" s="160" t="s">
        <v>722</v>
      </c>
      <c r="AB293" s="140"/>
      <c r="AC293" s="140"/>
      <c r="AD293" s="140"/>
    </row>
    <row r="294" spans="1:30" ht="14.2" customHeight="1" x14ac:dyDescent="0.25">
      <c r="A294" s="231" t="s">
        <v>741</v>
      </c>
      <c r="B294" s="145"/>
      <c r="C294" s="364"/>
      <c r="D294" s="233"/>
      <c r="E294" s="392"/>
      <c r="F294" s="237"/>
      <c r="G294" s="392"/>
      <c r="H294" s="132">
        <v>0.2</v>
      </c>
      <c r="I294" s="251"/>
      <c r="J294" s="369"/>
      <c r="K294" s="157">
        <v>8.9999999999999993E-3</v>
      </c>
      <c r="L294" s="382">
        <v>90</v>
      </c>
      <c r="M294" s="133">
        <f t="shared" si="256"/>
        <v>18.751550000000002</v>
      </c>
      <c r="N294" s="383">
        <v>90</v>
      </c>
      <c r="O294" s="134"/>
      <c r="P294" s="428"/>
      <c r="Q294" s="135"/>
      <c r="R294" s="428"/>
      <c r="S294" s="135"/>
      <c r="T294" s="428"/>
      <c r="U294" s="135"/>
      <c r="V294" s="428"/>
      <c r="W294" s="136"/>
      <c r="X294" s="136"/>
      <c r="Y294" s="138"/>
      <c r="Z294" s="138"/>
      <c r="AA294" s="160" t="s">
        <v>723</v>
      </c>
      <c r="AB294" s="140"/>
      <c r="AC294" s="140"/>
      <c r="AD294" s="140"/>
    </row>
    <row r="295" spans="1:30" ht="14.2" customHeight="1" x14ac:dyDescent="0.25">
      <c r="A295" s="231" t="s">
        <v>734</v>
      </c>
      <c r="B295" s="232"/>
      <c r="C295" s="373"/>
      <c r="D295" s="157"/>
      <c r="E295" s="383"/>
      <c r="F295" s="131"/>
      <c r="G295" s="383"/>
      <c r="H295" s="132">
        <v>0.2</v>
      </c>
      <c r="I295" s="271"/>
      <c r="J295" s="373"/>
      <c r="K295" s="157">
        <v>3.6999999999999998E-2</v>
      </c>
      <c r="L295" s="382">
        <v>71</v>
      </c>
      <c r="M295" s="133">
        <f t="shared" si="256"/>
        <v>77.089705555555554</v>
      </c>
      <c r="N295" s="383">
        <v>90</v>
      </c>
      <c r="O295" s="134"/>
      <c r="P295" s="428"/>
      <c r="Q295" s="135"/>
      <c r="R295" s="428"/>
      <c r="S295" s="135"/>
      <c r="T295" s="428"/>
      <c r="U295" s="135"/>
      <c r="V295" s="428"/>
      <c r="W295" s="136"/>
      <c r="X295" s="136"/>
      <c r="Y295" s="138"/>
      <c r="Z295" s="138"/>
      <c r="AA295" s="160" t="s">
        <v>724</v>
      </c>
      <c r="AB295" s="140"/>
      <c r="AC295" s="140"/>
      <c r="AD295" s="140"/>
    </row>
    <row r="296" spans="1:30" ht="14.2" customHeight="1" x14ac:dyDescent="0.25">
      <c r="A296" s="231" t="s">
        <v>742</v>
      </c>
      <c r="B296" s="232"/>
      <c r="C296" s="373"/>
      <c r="D296" s="157"/>
      <c r="E296" s="383"/>
      <c r="F296" s="131"/>
      <c r="G296" s="383"/>
      <c r="H296" s="132">
        <v>0.2</v>
      </c>
      <c r="I296" s="232"/>
      <c r="J296" s="373"/>
      <c r="K296" s="157">
        <v>3.82E-3</v>
      </c>
      <c r="L296" s="382">
        <v>71</v>
      </c>
      <c r="M296" s="133">
        <f t="shared" si="256"/>
        <v>7.958991222222223</v>
      </c>
      <c r="N296" s="383">
        <v>90</v>
      </c>
      <c r="O296" s="134"/>
      <c r="P296" s="428"/>
      <c r="Q296" s="135"/>
      <c r="R296" s="428"/>
      <c r="S296" s="135"/>
      <c r="T296" s="428"/>
      <c r="U296" s="135"/>
      <c r="V296" s="428"/>
      <c r="W296" s="136"/>
      <c r="X296" s="136"/>
      <c r="Y296" s="138"/>
      <c r="Z296" s="138"/>
      <c r="AA296" s="160" t="s">
        <v>724</v>
      </c>
      <c r="AB296" s="140"/>
      <c r="AC296" s="140"/>
      <c r="AD296" s="140"/>
    </row>
    <row r="297" spans="1:30" ht="14.2" customHeight="1" x14ac:dyDescent="0.25">
      <c r="A297" s="231" t="s">
        <v>735</v>
      </c>
      <c r="B297" s="145"/>
      <c r="C297" s="364"/>
      <c r="D297" s="233"/>
      <c r="E297" s="407"/>
      <c r="F297" s="270"/>
      <c r="G297" s="392"/>
      <c r="H297" s="132">
        <v>0.2</v>
      </c>
      <c r="I297" s="251"/>
      <c r="J297" s="369"/>
      <c r="K297" s="157">
        <v>2.7E-2</v>
      </c>
      <c r="L297" s="382">
        <v>90</v>
      </c>
      <c r="M297" s="133">
        <f t="shared" si="256"/>
        <v>56.254650000000005</v>
      </c>
      <c r="N297" s="383">
        <v>90</v>
      </c>
      <c r="O297" s="134"/>
      <c r="P297" s="428"/>
      <c r="Q297" s="135"/>
      <c r="R297" s="428"/>
      <c r="S297" s="135"/>
      <c r="T297" s="428"/>
      <c r="U297" s="135"/>
      <c r="V297" s="428"/>
      <c r="W297" s="136"/>
      <c r="X297" s="136"/>
      <c r="Y297" s="138"/>
      <c r="Z297" s="138"/>
      <c r="AA297" s="160" t="s">
        <v>725</v>
      </c>
      <c r="AB297" s="140"/>
      <c r="AC297" s="140"/>
      <c r="AD297" s="140"/>
    </row>
    <row r="298" spans="1:30" ht="14.2" customHeight="1" x14ac:dyDescent="0.25">
      <c r="A298" s="231" t="s">
        <v>743</v>
      </c>
      <c r="B298" s="145"/>
      <c r="C298" s="364"/>
      <c r="D298" s="233"/>
      <c r="E298" s="392"/>
      <c r="F298" s="237"/>
      <c r="G298" s="392"/>
      <c r="H298" s="132">
        <v>0.2</v>
      </c>
      <c r="I298" s="251"/>
      <c r="J298" s="369"/>
      <c r="K298" s="157">
        <v>2.2000000000000001E-3</v>
      </c>
      <c r="L298" s="382">
        <v>71</v>
      </c>
      <c r="M298" s="133">
        <f t="shared" si="256"/>
        <v>4.5837122222222222</v>
      </c>
      <c r="N298" s="383">
        <v>90</v>
      </c>
      <c r="O298" s="134"/>
      <c r="P298" s="428"/>
      <c r="Q298" s="135"/>
      <c r="R298" s="428"/>
      <c r="S298" s="135"/>
      <c r="T298" s="428"/>
      <c r="U298" s="135"/>
      <c r="V298" s="428"/>
      <c r="W298" s="136"/>
      <c r="X298" s="136"/>
      <c r="Y298" s="138"/>
      <c r="Z298" s="138"/>
      <c r="AA298" s="160" t="s">
        <v>725</v>
      </c>
      <c r="AB298" s="140"/>
      <c r="AC298" s="140"/>
      <c r="AD298" s="140"/>
    </row>
    <row r="299" spans="1:30" ht="14.2" customHeight="1" x14ac:dyDescent="0.25">
      <c r="A299" s="447" t="s">
        <v>699</v>
      </c>
      <c r="B299" s="148"/>
      <c r="C299" s="365"/>
      <c r="D299" s="157"/>
      <c r="E299" s="383"/>
      <c r="F299" s="194"/>
      <c r="G299" s="384"/>
      <c r="H299" s="132">
        <v>0.22</v>
      </c>
      <c r="I299" s="145"/>
      <c r="J299" s="365"/>
      <c r="K299" s="157">
        <v>2.5229999999999999E-2</v>
      </c>
      <c r="L299" s="382">
        <v>71</v>
      </c>
      <c r="M299" s="133">
        <f t="shared" si="256"/>
        <v>52.566845166666674</v>
      </c>
      <c r="N299" s="383">
        <v>90</v>
      </c>
      <c r="O299" s="134"/>
      <c r="P299" s="428"/>
      <c r="Q299" s="159"/>
      <c r="R299" s="429"/>
      <c r="S299" s="159"/>
      <c r="T299" s="429"/>
      <c r="U299" s="159"/>
      <c r="V299" s="429"/>
      <c r="W299" s="136"/>
      <c r="X299" s="136"/>
      <c r="Y299" s="138"/>
      <c r="Z299" s="138"/>
      <c r="AA299" s="150" t="s">
        <v>726</v>
      </c>
      <c r="AB299" s="140"/>
      <c r="AC299" s="140" t="str">
        <f>VLOOKUP(L299,$B$399:$C$431,2,FALSE)</f>
        <v>メーカー公表値</v>
      </c>
      <c r="AD299" s="140"/>
    </row>
    <row r="300" spans="1:30" ht="14.2" customHeight="1" x14ac:dyDescent="0.25">
      <c r="A300" s="447" t="s">
        <v>700</v>
      </c>
      <c r="B300" s="148"/>
      <c r="C300" s="365"/>
      <c r="D300" s="157"/>
      <c r="E300" s="383"/>
      <c r="F300" s="194"/>
      <c r="G300" s="384"/>
      <c r="H300" s="132">
        <v>0.22</v>
      </c>
      <c r="I300" s="145"/>
      <c r="J300" s="365"/>
      <c r="K300" s="157">
        <v>7.5699999999999997E-4</v>
      </c>
      <c r="L300" s="382">
        <v>71</v>
      </c>
      <c r="M300" s="133">
        <f t="shared" si="243"/>
        <v>1.5772137055555557</v>
      </c>
      <c r="N300" s="383">
        <v>90</v>
      </c>
      <c r="O300" s="134"/>
      <c r="P300" s="428"/>
      <c r="Q300" s="159"/>
      <c r="R300" s="429"/>
      <c r="S300" s="159"/>
      <c r="T300" s="429"/>
      <c r="U300" s="159"/>
      <c r="V300" s="429"/>
      <c r="W300" s="136"/>
      <c r="X300" s="136"/>
      <c r="Y300" s="138"/>
      <c r="Z300" s="138"/>
      <c r="AA300" s="150" t="s">
        <v>726</v>
      </c>
      <c r="AB300" s="140"/>
      <c r="AC300" s="140" t="str">
        <f>VLOOKUP(L300,$B$399:$C$431,2,FALSE)</f>
        <v>メーカー公表値</v>
      </c>
      <c r="AD300" s="140"/>
    </row>
    <row r="301" spans="1:30" ht="14.2" customHeight="1" x14ac:dyDescent="0.25">
      <c r="A301" s="231" t="s">
        <v>701</v>
      </c>
      <c r="B301" s="232"/>
      <c r="C301" s="373"/>
      <c r="D301" s="233"/>
      <c r="E301" s="392"/>
      <c r="F301" s="234"/>
      <c r="G301" s="392"/>
      <c r="H301" s="132">
        <v>0.2</v>
      </c>
      <c r="I301" s="232"/>
      <c r="J301" s="373"/>
      <c r="K301" s="207">
        <v>0.10091799999999999</v>
      </c>
      <c r="L301" s="382">
        <v>71</v>
      </c>
      <c r="M301" s="133">
        <f t="shared" si="243"/>
        <v>210.26321365555557</v>
      </c>
      <c r="N301" s="383">
        <v>90</v>
      </c>
      <c r="O301" s="134"/>
      <c r="P301" s="428"/>
      <c r="Q301" s="159"/>
      <c r="R301" s="429"/>
      <c r="S301" s="159"/>
      <c r="T301" s="429"/>
      <c r="U301" s="159"/>
      <c r="V301" s="429"/>
      <c r="W301" s="136"/>
      <c r="X301" s="136"/>
      <c r="Y301" s="138"/>
      <c r="Z301" s="138"/>
      <c r="AA301" s="150" t="s">
        <v>726</v>
      </c>
      <c r="AB301" s="140"/>
      <c r="AC301" s="140" t="str">
        <f>VLOOKUP(L301,$B$399:$C$431,2,FALSE)</f>
        <v>メーカー公表値</v>
      </c>
      <c r="AD301" s="140"/>
    </row>
    <row r="302" spans="1:30" ht="14.2" customHeight="1" x14ac:dyDescent="0.25">
      <c r="A302" s="231" t="s">
        <v>702</v>
      </c>
      <c r="B302" s="232"/>
      <c r="C302" s="373"/>
      <c r="D302" s="233"/>
      <c r="E302" s="392"/>
      <c r="F302" s="234"/>
      <c r="G302" s="392"/>
      <c r="H302" s="132">
        <v>0.2</v>
      </c>
      <c r="I302" s="232"/>
      <c r="J302" s="373"/>
      <c r="K302" s="207">
        <v>1.0089999999999999E-3</v>
      </c>
      <c r="L302" s="382">
        <v>71</v>
      </c>
      <c r="M302" s="133">
        <f t="shared" si="243"/>
        <v>2.1022571055555557</v>
      </c>
      <c r="N302" s="383">
        <v>90</v>
      </c>
      <c r="O302" s="134"/>
      <c r="P302" s="428"/>
      <c r="Q302" s="159"/>
      <c r="R302" s="429"/>
      <c r="S302" s="159"/>
      <c r="T302" s="429"/>
      <c r="U302" s="159"/>
      <c r="V302" s="429"/>
      <c r="W302" s="136"/>
      <c r="X302" s="136"/>
      <c r="Y302" s="138"/>
      <c r="Z302" s="138"/>
      <c r="AA302" s="150" t="s">
        <v>726</v>
      </c>
      <c r="AB302" s="140"/>
      <c r="AC302" s="140" t="str">
        <f>VLOOKUP(L302,$B$399:$C$431,2,FALSE)</f>
        <v>メーカー公表値</v>
      </c>
      <c r="AD302" s="140"/>
    </row>
    <row r="303" spans="1:30" ht="14.2" customHeight="1" x14ac:dyDescent="0.25">
      <c r="A303" s="167" t="s">
        <v>249</v>
      </c>
      <c r="B303" s="145">
        <v>0.17</v>
      </c>
      <c r="C303" s="364">
        <v>54</v>
      </c>
      <c r="D303" s="157">
        <v>188.14</v>
      </c>
      <c r="E303" s="383">
        <v>22</v>
      </c>
      <c r="F303" s="131">
        <f t="shared" ref="F303" si="257">D303/(3600*10^-9/760*1.013*10^5)</f>
        <v>392087.30942195898</v>
      </c>
      <c r="G303" s="384">
        <v>90</v>
      </c>
      <c r="H303" s="132">
        <v>0.2</v>
      </c>
      <c r="I303" s="129"/>
      <c r="J303" s="364"/>
      <c r="K303" s="157">
        <f>M303*3600*1000/760*1.013*10^5*10^-12</f>
        <v>3.7619621052631579E-2</v>
      </c>
      <c r="L303" s="382">
        <v>90</v>
      </c>
      <c r="M303" s="133">
        <v>78.400000000000006</v>
      </c>
      <c r="N303" s="383">
        <v>31</v>
      </c>
      <c r="O303" s="134">
        <v>910</v>
      </c>
      <c r="P303" s="428">
        <v>62</v>
      </c>
      <c r="Q303" s="135"/>
      <c r="R303" s="428"/>
      <c r="S303" s="135"/>
      <c r="T303" s="428"/>
      <c r="U303" s="135"/>
      <c r="V303" s="428"/>
      <c r="W303" s="136">
        <f t="shared" si="236"/>
        <v>393.31920878594275</v>
      </c>
      <c r="X303" s="136"/>
      <c r="Y303" s="138">
        <f t="shared" ref="Y303" si="258">K303/0.001*((2*10^-7*(20+273)^0.81/101325)*10^12)</f>
        <v>7394.1894266032541</v>
      </c>
      <c r="Z303" s="138">
        <f t="shared" ref="Z303" si="259">Y303*0.001</f>
        <v>7.394189426603254</v>
      </c>
      <c r="AA303" s="144"/>
      <c r="AB303" s="140" t="str">
        <f>VLOOKUP(C303,$B$399:$C$431,2,FALSE)</f>
        <v>「健康なすまいへの道」建築資料研究社</v>
      </c>
      <c r="AC303" s="103" t="s">
        <v>416</v>
      </c>
      <c r="AD303" s="140" t="str">
        <f t="shared" ref="AD303:AD309" si="260">VLOOKUP(P303,$B$399:$C$431,2,FALSE)</f>
        <v>SolarDesigner6マニュアル</v>
      </c>
    </row>
    <row r="304" spans="1:30" ht="14.2" customHeight="1" x14ac:dyDescent="0.25">
      <c r="A304" s="167" t="s">
        <v>420</v>
      </c>
      <c r="B304" s="145"/>
      <c r="C304" s="364"/>
      <c r="D304" s="157"/>
      <c r="E304" s="383"/>
      <c r="F304" s="131"/>
      <c r="G304" s="383"/>
      <c r="H304" s="132">
        <v>0.1</v>
      </c>
      <c r="I304" s="129"/>
      <c r="J304" s="364"/>
      <c r="K304" s="157">
        <v>8.0000000000000002E-3</v>
      </c>
      <c r="L304" s="382">
        <v>22</v>
      </c>
      <c r="M304" s="133">
        <f>K304*1000000000*0.00750062/3600</f>
        <v>16.668044444444448</v>
      </c>
      <c r="N304" s="383">
        <v>90</v>
      </c>
      <c r="O304" s="134">
        <v>910</v>
      </c>
      <c r="P304" s="428">
        <v>62</v>
      </c>
      <c r="Q304" s="135"/>
      <c r="R304" s="428"/>
      <c r="S304" s="135"/>
      <c r="T304" s="428"/>
      <c r="U304" s="135"/>
      <c r="V304" s="428"/>
      <c r="W304" s="136">
        <f t="shared" si="236"/>
        <v>0</v>
      </c>
      <c r="X304" s="136"/>
      <c r="Y304" s="138">
        <f t="shared" ref="Y304:Y305" si="261">K304/(H304/1000)*((2*10^-7*(20+273)^0.81/101325)*10^12)</f>
        <v>15724.112513006856</v>
      </c>
      <c r="Z304" s="138">
        <f t="shared" ref="Z304:Z305" si="262">Y304*(H304/1000)</f>
        <v>1.5724112513006856</v>
      </c>
      <c r="AA304" s="144"/>
      <c r="AB304" s="140"/>
      <c r="AC304" s="103" t="s">
        <v>416</v>
      </c>
      <c r="AD304" s="140" t="str">
        <f t="shared" si="260"/>
        <v>SolarDesigner6マニュアル</v>
      </c>
    </row>
    <row r="305" spans="1:30" ht="14.2" customHeight="1" x14ac:dyDescent="0.25">
      <c r="A305" s="167" t="s">
        <v>250</v>
      </c>
      <c r="B305" s="145"/>
      <c r="C305" s="364"/>
      <c r="D305" s="157">
        <v>4.8</v>
      </c>
      <c r="E305" s="383">
        <v>22</v>
      </c>
      <c r="F305" s="131">
        <f t="shared" ref="F305" si="263">D305/(3600*10^-9/760*1.013*10^5)</f>
        <v>10003.290556103982</v>
      </c>
      <c r="G305" s="384">
        <v>90</v>
      </c>
      <c r="H305" s="132">
        <v>1.4</v>
      </c>
      <c r="I305" s="129"/>
      <c r="J305" s="364"/>
      <c r="K305" s="130">
        <f t="shared" ref="K305" si="264">D305*H305/1000</f>
        <v>6.7199999999999994E-3</v>
      </c>
      <c r="L305" s="382">
        <v>90</v>
      </c>
      <c r="M305" s="133">
        <f>K305*1000000000*0.00750062/3600</f>
        <v>14.001157333333332</v>
      </c>
      <c r="N305" s="383">
        <v>90</v>
      </c>
      <c r="O305" s="134">
        <v>910</v>
      </c>
      <c r="P305" s="428">
        <v>62</v>
      </c>
      <c r="Q305" s="135"/>
      <c r="R305" s="428"/>
      <c r="S305" s="135"/>
      <c r="T305" s="428"/>
      <c r="U305" s="135"/>
      <c r="V305" s="428"/>
      <c r="W305" s="136">
        <f t="shared" si="236"/>
        <v>0</v>
      </c>
      <c r="X305" s="136"/>
      <c r="Y305" s="138">
        <f t="shared" si="261"/>
        <v>943.44675078041132</v>
      </c>
      <c r="Z305" s="138">
        <f t="shared" si="262"/>
        <v>1.3208254510925759</v>
      </c>
      <c r="AA305" s="144"/>
      <c r="AB305" s="140"/>
      <c r="AC305" s="103" t="s">
        <v>416</v>
      </c>
      <c r="AD305" s="140" t="str">
        <f t="shared" si="260"/>
        <v>SolarDesigner6マニュアル</v>
      </c>
    </row>
    <row r="306" spans="1:30" ht="14.2" customHeight="1" x14ac:dyDescent="0.25">
      <c r="A306" s="167" t="s">
        <v>86</v>
      </c>
      <c r="B306" s="145">
        <v>0.14000000000000001</v>
      </c>
      <c r="C306" s="364">
        <v>51</v>
      </c>
      <c r="D306" s="157"/>
      <c r="E306" s="383"/>
      <c r="F306" s="131"/>
      <c r="G306" s="383"/>
      <c r="H306" s="132">
        <v>0.5</v>
      </c>
      <c r="I306" s="129">
        <f>H306/B306/1000</f>
        <v>3.5714285714285713E-3</v>
      </c>
      <c r="J306" s="364">
        <v>11</v>
      </c>
      <c r="K306" s="157">
        <v>1.4E-3</v>
      </c>
      <c r="L306" s="382">
        <v>22</v>
      </c>
      <c r="M306" s="133">
        <f>K306*1000000000*0.00750062/3600</f>
        <v>2.9169077777777779</v>
      </c>
      <c r="N306" s="383">
        <v>90</v>
      </c>
      <c r="O306" s="134">
        <v>920</v>
      </c>
      <c r="P306" s="428">
        <v>62</v>
      </c>
      <c r="Q306" s="135">
        <f>O306/S306</f>
        <v>1.2073490813648293</v>
      </c>
      <c r="R306" s="428">
        <v>90</v>
      </c>
      <c r="S306" s="135">
        <v>762</v>
      </c>
      <c r="T306" s="428">
        <v>51</v>
      </c>
      <c r="U306" s="135"/>
      <c r="V306" s="428"/>
      <c r="W306" s="136">
        <f t="shared" si="236"/>
        <v>358.88716889852725</v>
      </c>
      <c r="X306" s="136"/>
      <c r="Y306" s="138">
        <f t="shared" ref="Y306" si="265">K306/0.001*((2*10^-7*(20+273)^0.81/101325)*10^12)</f>
        <v>275.17196897761994</v>
      </c>
      <c r="Z306" s="138">
        <f t="shared" ref="Z306" si="266">Y306*0.001</f>
        <v>0.27517196897761992</v>
      </c>
      <c r="AA306" s="139" t="s">
        <v>144</v>
      </c>
      <c r="AB306" s="140" t="str">
        <f>VLOOKUP(C306,$B$399:$C$431,2,FALSE)</f>
        <v>「建物の結露」学芸出版社 (2003/04)</v>
      </c>
      <c r="AC306" s="103" t="s">
        <v>416</v>
      </c>
      <c r="AD306" s="140" t="str">
        <f t="shared" si="260"/>
        <v>SolarDesigner6マニュアル</v>
      </c>
    </row>
    <row r="307" spans="1:30" ht="14.2" customHeight="1" x14ac:dyDescent="0.25">
      <c r="A307" s="167" t="s">
        <v>84</v>
      </c>
      <c r="B307" s="145">
        <v>0.26700000000000002</v>
      </c>
      <c r="C307" s="364">
        <v>51</v>
      </c>
      <c r="D307" s="157"/>
      <c r="E307" s="383"/>
      <c r="F307" s="131"/>
      <c r="G307" s="383"/>
      <c r="H307" s="132">
        <v>0.5</v>
      </c>
      <c r="I307" s="129">
        <f>H307/B307/1000</f>
        <v>1.8726591760299624E-3</v>
      </c>
      <c r="J307" s="364">
        <v>11</v>
      </c>
      <c r="K307" s="157">
        <v>3.0000000000000001E-3</v>
      </c>
      <c r="L307" s="382">
        <v>22</v>
      </c>
      <c r="M307" s="133">
        <f>K307*1000000000*0.00750062/3600</f>
        <v>6.2505166666666669</v>
      </c>
      <c r="N307" s="383">
        <v>90</v>
      </c>
      <c r="O307" s="134">
        <v>920</v>
      </c>
      <c r="P307" s="428">
        <v>62</v>
      </c>
      <c r="Q307" s="135">
        <f>O307/S307</f>
        <v>1</v>
      </c>
      <c r="R307" s="428">
        <v>90</v>
      </c>
      <c r="S307" s="135">
        <v>920</v>
      </c>
      <c r="T307" s="428">
        <v>51</v>
      </c>
      <c r="U307" s="135"/>
      <c r="V307" s="428"/>
      <c r="W307" s="136">
        <f t="shared" si="236"/>
        <v>495.62082280711331</v>
      </c>
      <c r="X307" s="136"/>
      <c r="Y307" s="138">
        <f t="shared" ref="Y307:Y308" si="267">K307/(H307/1000)*((2*10^-7*(20+273)^0.81/101325)*10^12)</f>
        <v>1179.3084384755141</v>
      </c>
      <c r="Z307" s="138">
        <f t="shared" ref="Z307:Z308" si="268">Y307*(H307/1000)</f>
        <v>0.58965421923775707</v>
      </c>
      <c r="AA307" s="139" t="s">
        <v>144</v>
      </c>
      <c r="AB307" s="140" t="str">
        <f>VLOOKUP(C307,$B$399:$C$431,2,FALSE)</f>
        <v>「建物の結露」学芸出版社 (2003/04)</v>
      </c>
      <c r="AC307" s="103" t="s">
        <v>416</v>
      </c>
      <c r="AD307" s="140" t="str">
        <f t="shared" si="260"/>
        <v>SolarDesigner6マニュアル</v>
      </c>
    </row>
    <row r="308" spans="1:30" ht="14.2" customHeight="1" x14ac:dyDescent="0.25">
      <c r="A308" s="167" t="s">
        <v>248</v>
      </c>
      <c r="B308" s="145">
        <v>0.17</v>
      </c>
      <c r="C308" s="364">
        <v>54</v>
      </c>
      <c r="D308" s="157"/>
      <c r="E308" s="383"/>
      <c r="F308" s="131"/>
      <c r="G308" s="383"/>
      <c r="H308" s="132">
        <v>0.2</v>
      </c>
      <c r="I308" s="129"/>
      <c r="J308" s="364"/>
      <c r="K308" s="157">
        <f>M308*3600*1000/760*1.013*10^5*10^-12</f>
        <v>0.12475894736842105</v>
      </c>
      <c r="L308" s="382">
        <v>90</v>
      </c>
      <c r="M308" s="133">
        <v>260</v>
      </c>
      <c r="N308" s="383">
        <v>31</v>
      </c>
      <c r="O308" s="134">
        <v>910</v>
      </c>
      <c r="P308" s="428">
        <v>62</v>
      </c>
      <c r="Q308" s="135"/>
      <c r="R308" s="428"/>
      <c r="S308" s="135"/>
      <c r="T308" s="428"/>
      <c r="U308" s="135"/>
      <c r="V308" s="428"/>
      <c r="W308" s="136">
        <f t="shared" si="236"/>
        <v>393.31920878594275</v>
      </c>
      <c r="X308" s="136"/>
      <c r="Y308" s="138">
        <f t="shared" si="267"/>
        <v>122607.73283908455</v>
      </c>
      <c r="Z308" s="138">
        <f t="shared" si="268"/>
        <v>24.521546567816912</v>
      </c>
      <c r="AA308" s="144"/>
      <c r="AB308" s="140" t="str">
        <f>VLOOKUP(C308,$B$399:$C$431,2,FALSE)</f>
        <v>「健康なすまいへの道」建築資料研究社</v>
      </c>
      <c r="AC308" s="140" t="str">
        <f>VLOOKUP(N308,$B$399:$C$431,2,FALSE)</f>
        <v>「結露防止ガイドブック」IBEC</v>
      </c>
      <c r="AD308" s="140" t="str">
        <f t="shared" si="260"/>
        <v>SolarDesigner6マニュアル</v>
      </c>
    </row>
    <row r="309" spans="1:30" ht="14.2" customHeight="1" x14ac:dyDescent="0.25">
      <c r="A309" s="193" t="s">
        <v>409</v>
      </c>
      <c r="B309" s="148"/>
      <c r="C309" s="365"/>
      <c r="D309" s="157"/>
      <c r="E309" s="383"/>
      <c r="F309" s="238"/>
      <c r="G309" s="384"/>
      <c r="H309" s="132">
        <v>0.2</v>
      </c>
      <c r="I309" s="145"/>
      <c r="J309" s="365"/>
      <c r="K309" s="157">
        <v>8.2000000000000003E-2</v>
      </c>
      <c r="L309" s="415">
        <v>71</v>
      </c>
      <c r="M309" s="239">
        <v>170</v>
      </c>
      <c r="N309" s="415">
        <v>71</v>
      </c>
      <c r="O309" s="134">
        <v>910</v>
      </c>
      <c r="P309" s="428">
        <v>62</v>
      </c>
      <c r="Q309" s="159"/>
      <c r="R309" s="429"/>
      <c r="S309" s="159"/>
      <c r="T309" s="429"/>
      <c r="U309" s="159"/>
      <c r="V309" s="429"/>
      <c r="W309" s="136">
        <f t="shared" si="236"/>
        <v>0</v>
      </c>
      <c r="X309" s="136"/>
      <c r="Y309" s="138">
        <f t="shared" ref="Y309" si="269">K309/0.001*((2*10^-7*(20+273)^0.81/101325)*10^12)</f>
        <v>16117.215325832027</v>
      </c>
      <c r="Z309" s="138">
        <f t="shared" ref="Z309" si="270">Y309*0.001</f>
        <v>16.117215325832028</v>
      </c>
      <c r="AA309" s="196"/>
      <c r="AB309" s="140"/>
      <c r="AC309" s="140" t="str">
        <f>VLOOKUP(L309,$B$399:$C$431,2,FALSE)</f>
        <v>メーカー公表値</v>
      </c>
      <c r="AD309" s="140" t="str">
        <f t="shared" si="260"/>
        <v>SolarDesigner6マニュアル</v>
      </c>
    </row>
    <row r="310" spans="1:30" ht="14.2" customHeight="1" x14ac:dyDescent="0.25">
      <c r="A310" s="167" t="s">
        <v>25</v>
      </c>
      <c r="B310" s="145"/>
      <c r="C310" s="364"/>
      <c r="D310" s="157">
        <v>0.57599999999999996</v>
      </c>
      <c r="E310" s="383">
        <v>22</v>
      </c>
      <c r="F310" s="131">
        <f t="shared" ref="F310" si="271">D310/(3600*10^-9/760*1.013*10^5)</f>
        <v>1200.3948667324778</v>
      </c>
      <c r="G310" s="384">
        <v>90</v>
      </c>
      <c r="H310" s="132">
        <v>0.1</v>
      </c>
      <c r="I310" s="129"/>
      <c r="J310" s="364"/>
      <c r="K310" s="157">
        <v>4.8000000000000001E-5</v>
      </c>
      <c r="L310" s="382">
        <v>22</v>
      </c>
      <c r="M310" s="133">
        <f>K310*1000000000*0.00750062/3600</f>
        <v>0.10000826666666666</v>
      </c>
      <c r="N310" s="383">
        <v>90</v>
      </c>
      <c r="O310" s="134"/>
      <c r="P310" s="428"/>
      <c r="Q310" s="135"/>
      <c r="R310" s="428"/>
      <c r="S310" s="135"/>
      <c r="T310" s="428"/>
      <c r="U310" s="135"/>
      <c r="V310" s="428"/>
      <c r="W310" s="136">
        <f t="shared" si="236"/>
        <v>0</v>
      </c>
      <c r="X310" s="136"/>
      <c r="Y310" s="138">
        <f t="shared" ref="Y310:Y311" si="272">K310/(H310/1000)*((2*10^-7*(20+273)^0.81/101325)*10^12)</f>
        <v>94.344675078041135</v>
      </c>
      <c r="Z310" s="138">
        <f t="shared" ref="Z310:Z311" si="273">Y310*(H310/1000)</f>
        <v>9.4344675078041132E-3</v>
      </c>
      <c r="AA310" s="139"/>
      <c r="AB310" s="140"/>
      <c r="AC310" s="103" t="s">
        <v>416</v>
      </c>
    </row>
    <row r="311" spans="1:30" ht="14.2" customHeight="1" thickBot="1" x14ac:dyDescent="0.3">
      <c r="A311" s="167" t="s">
        <v>26</v>
      </c>
      <c r="B311" s="145"/>
      <c r="C311" s="364"/>
      <c r="D311" s="157"/>
      <c r="E311" s="383"/>
      <c r="F311" s="131"/>
      <c r="G311" s="383"/>
      <c r="H311" s="132">
        <v>0.1</v>
      </c>
      <c r="I311" s="129"/>
      <c r="J311" s="364"/>
      <c r="K311" s="157">
        <v>1.3999999999999999E-4</v>
      </c>
      <c r="L311" s="382">
        <v>22</v>
      </c>
      <c r="M311" s="133">
        <f>K311*1000000000*0.00750062/3600</f>
        <v>0.2916907777777778</v>
      </c>
      <c r="N311" s="383">
        <v>90</v>
      </c>
      <c r="O311" s="134"/>
      <c r="P311" s="428"/>
      <c r="Q311" s="135"/>
      <c r="R311" s="428"/>
      <c r="S311" s="135"/>
      <c r="T311" s="428"/>
      <c r="U311" s="135"/>
      <c r="V311" s="428"/>
      <c r="W311" s="136">
        <f t="shared" si="236"/>
        <v>0</v>
      </c>
      <c r="X311" s="136"/>
      <c r="Y311" s="138">
        <f t="shared" si="272"/>
        <v>275.17196897761994</v>
      </c>
      <c r="Z311" s="138">
        <f t="shared" si="273"/>
        <v>2.7517196897761994E-2</v>
      </c>
      <c r="AA311" s="139"/>
      <c r="AB311" s="140"/>
      <c r="AC311" s="103" t="s">
        <v>416</v>
      </c>
    </row>
    <row r="312" spans="1:30" ht="21" customHeight="1" thickTop="1" x14ac:dyDescent="0.25">
      <c r="A312" s="122" t="s">
        <v>133</v>
      </c>
      <c r="B312" s="123"/>
      <c r="C312" s="363"/>
      <c r="D312" s="124"/>
      <c r="E312" s="363"/>
      <c r="F312" s="123"/>
      <c r="G312" s="363"/>
      <c r="H312" s="123"/>
      <c r="I312" s="123"/>
      <c r="J312" s="363"/>
      <c r="K312" s="124"/>
      <c r="L312" s="363"/>
      <c r="M312" s="123"/>
      <c r="N312" s="363"/>
      <c r="O312" s="123"/>
      <c r="P312" s="363"/>
      <c r="Q312" s="123"/>
      <c r="R312" s="363"/>
      <c r="S312" s="123"/>
      <c r="T312" s="363"/>
      <c r="U312" s="123"/>
      <c r="V312" s="363"/>
      <c r="W312" s="125"/>
      <c r="X312" s="125"/>
      <c r="Y312" s="126"/>
      <c r="Z312" s="126"/>
      <c r="AA312" s="127"/>
      <c r="AB312" s="140"/>
    </row>
    <row r="313" spans="1:30" ht="14.2" customHeight="1" x14ac:dyDescent="0.25">
      <c r="A313" s="156" t="s">
        <v>183</v>
      </c>
      <c r="B313" s="152"/>
      <c r="C313" s="398"/>
      <c r="D313" s="130"/>
      <c r="E313" s="387"/>
      <c r="F313" s="146"/>
      <c r="G313" s="387"/>
      <c r="H313" s="132">
        <v>0.1</v>
      </c>
      <c r="I313" s="200"/>
      <c r="J313" s="374"/>
      <c r="K313" s="169">
        <v>2.9000000000000001E-2</v>
      </c>
      <c r="L313" s="419">
        <v>22</v>
      </c>
      <c r="M313" s="133">
        <f>K313*1000000000*0.00750062/3600</f>
        <v>60.421661111111113</v>
      </c>
      <c r="N313" s="383">
        <v>90</v>
      </c>
      <c r="O313" s="153"/>
      <c r="P313" s="430"/>
      <c r="Q313" s="155"/>
      <c r="R313" s="430"/>
      <c r="S313" s="155"/>
      <c r="T313" s="430"/>
      <c r="U313" s="155"/>
      <c r="V313" s="430"/>
      <c r="W313" s="136">
        <f t="shared" ref="W313:W333" si="274">SQRT(B313*O313*1000)</f>
        <v>0</v>
      </c>
      <c r="X313" s="136"/>
      <c r="Y313" s="138">
        <f t="shared" ref="Y313:Y333" si="275">K313/(H313/1000)*((2*10^-7*(20+273)^0.81/101325)*10^12)</f>
        <v>56999.907859649851</v>
      </c>
      <c r="Z313" s="138">
        <f t="shared" ref="Z313:Z333" si="276">Y313*(H313/1000)</f>
        <v>5.6999907859649852</v>
      </c>
      <c r="AA313" s="154"/>
      <c r="AB313" s="140"/>
      <c r="AC313" s="103" t="s">
        <v>416</v>
      </c>
    </row>
    <row r="314" spans="1:30" ht="14.2" customHeight="1" x14ac:dyDescent="0.25">
      <c r="A314" s="128" t="s">
        <v>184</v>
      </c>
      <c r="B314" s="145"/>
      <c r="C314" s="364"/>
      <c r="D314" s="157"/>
      <c r="E314" s="383"/>
      <c r="F314" s="131"/>
      <c r="G314" s="383"/>
      <c r="H314" s="132">
        <v>0.1</v>
      </c>
      <c r="I314" s="129"/>
      <c r="J314" s="369"/>
      <c r="K314" s="157">
        <v>2.4E-2</v>
      </c>
      <c r="L314" s="414">
        <v>22</v>
      </c>
      <c r="M314" s="133">
        <f>K314*1000000000*0.00750062/3600</f>
        <v>50.004133333333336</v>
      </c>
      <c r="N314" s="383">
        <v>90</v>
      </c>
      <c r="O314" s="134"/>
      <c r="P314" s="428"/>
      <c r="Q314" s="135"/>
      <c r="R314" s="428"/>
      <c r="S314" s="135"/>
      <c r="T314" s="428"/>
      <c r="U314" s="135"/>
      <c r="V314" s="428"/>
      <c r="W314" s="136">
        <f t="shared" si="274"/>
        <v>0</v>
      </c>
      <c r="X314" s="136"/>
      <c r="Y314" s="138">
        <f t="shared" si="275"/>
        <v>47172.337539020569</v>
      </c>
      <c r="Z314" s="138">
        <f t="shared" si="276"/>
        <v>4.7172337539020575</v>
      </c>
      <c r="AA314" s="144"/>
      <c r="AC314" s="103" t="s">
        <v>416</v>
      </c>
    </row>
    <row r="315" spans="1:30" ht="14.2" customHeight="1" x14ac:dyDescent="0.25">
      <c r="A315" s="128" t="s">
        <v>185</v>
      </c>
      <c r="B315" s="145"/>
      <c r="C315" s="364"/>
      <c r="D315" s="157"/>
      <c r="E315" s="383"/>
      <c r="F315" s="131"/>
      <c r="G315" s="383"/>
      <c r="H315" s="132">
        <v>0.1</v>
      </c>
      <c r="I315" s="129"/>
      <c r="J315" s="369"/>
      <c r="K315" s="157">
        <v>8.6999999999999994E-2</v>
      </c>
      <c r="L315" s="414">
        <v>22</v>
      </c>
      <c r="M315" s="133">
        <f>K315*1000000000*0.00750062/3600</f>
        <v>181.26498333333336</v>
      </c>
      <c r="N315" s="383">
        <v>90</v>
      </c>
      <c r="O315" s="134"/>
      <c r="P315" s="428"/>
      <c r="Q315" s="135"/>
      <c r="R315" s="428"/>
      <c r="S315" s="135"/>
      <c r="T315" s="428"/>
      <c r="U315" s="135"/>
      <c r="V315" s="428"/>
      <c r="W315" s="136">
        <f t="shared" si="274"/>
        <v>0</v>
      </c>
      <c r="X315" s="136"/>
      <c r="Y315" s="138">
        <f t="shared" si="275"/>
        <v>170999.72357894952</v>
      </c>
      <c r="Z315" s="138">
        <f t="shared" si="276"/>
        <v>17.099972357894952</v>
      </c>
      <c r="AA315" s="144"/>
      <c r="AC315" s="103" t="s">
        <v>416</v>
      </c>
    </row>
    <row r="316" spans="1:30" ht="14.2" customHeight="1" x14ac:dyDescent="0.25">
      <c r="A316" s="128" t="s">
        <v>638</v>
      </c>
      <c r="B316" s="145"/>
      <c r="C316" s="364"/>
      <c r="D316" s="157"/>
      <c r="E316" s="383"/>
      <c r="F316" s="131"/>
      <c r="G316" s="383"/>
      <c r="H316" s="235">
        <v>91</v>
      </c>
      <c r="I316" s="232">
        <v>2.0154299999999998</v>
      </c>
      <c r="J316" s="373">
        <v>71</v>
      </c>
      <c r="K316" s="233">
        <v>7.5640000000000004E-3</v>
      </c>
      <c r="L316" s="414">
        <v>71</v>
      </c>
      <c r="M316" s="133"/>
      <c r="N316" s="383"/>
      <c r="O316" s="134"/>
      <c r="P316" s="428"/>
      <c r="Q316" s="135"/>
      <c r="R316" s="428"/>
      <c r="S316" s="135"/>
      <c r="T316" s="428"/>
      <c r="U316" s="135"/>
      <c r="V316" s="428"/>
      <c r="W316" s="136"/>
      <c r="X316" s="136"/>
      <c r="Y316" s="138"/>
      <c r="Z316" s="138"/>
      <c r="AA316" s="144"/>
    </row>
    <row r="317" spans="1:30" ht="14.2" customHeight="1" x14ac:dyDescent="0.25">
      <c r="A317" s="128" t="s">
        <v>174</v>
      </c>
      <c r="B317" s="145"/>
      <c r="C317" s="364"/>
      <c r="D317" s="157"/>
      <c r="E317" s="383"/>
      <c r="F317" s="131"/>
      <c r="G317" s="383"/>
      <c r="H317" s="132">
        <v>0.13</v>
      </c>
      <c r="I317" s="129"/>
      <c r="J317" s="369"/>
      <c r="K317" s="157">
        <f t="shared" ref="K317:K325" si="277">D317*H317/1000</f>
        <v>0</v>
      </c>
      <c r="L317" s="382">
        <v>90</v>
      </c>
      <c r="M317" s="133">
        <v>0.23</v>
      </c>
      <c r="N317" s="386">
        <v>51</v>
      </c>
      <c r="O317" s="134"/>
      <c r="P317" s="428"/>
      <c r="Q317" s="135"/>
      <c r="R317" s="428"/>
      <c r="S317" s="135"/>
      <c r="T317" s="428"/>
      <c r="U317" s="135"/>
      <c r="V317" s="428"/>
      <c r="W317" s="136">
        <f t="shared" si="274"/>
        <v>0</v>
      </c>
      <c r="X317" s="136"/>
      <c r="Y317" s="138"/>
      <c r="Z317" s="138"/>
      <c r="AA317" s="144"/>
      <c r="AC317" s="140" t="str">
        <f t="shared" ref="AC317:AC325" si="278">VLOOKUP(N317,$B$399:$C$431,2,FALSE)</f>
        <v>「建物の結露」学芸出版社 (2003/04)</v>
      </c>
    </row>
    <row r="318" spans="1:30" ht="14.2" customHeight="1" x14ac:dyDescent="0.25">
      <c r="A318" s="128" t="s">
        <v>162</v>
      </c>
      <c r="B318" s="145"/>
      <c r="C318" s="364"/>
      <c r="D318" s="157"/>
      <c r="E318" s="383"/>
      <c r="F318" s="131"/>
      <c r="G318" s="383"/>
      <c r="H318" s="132">
        <v>0.17</v>
      </c>
      <c r="I318" s="129"/>
      <c r="J318" s="369"/>
      <c r="K318" s="157">
        <f t="shared" si="277"/>
        <v>0</v>
      </c>
      <c r="L318" s="382">
        <v>90</v>
      </c>
      <c r="M318" s="133">
        <v>25.64</v>
      </c>
      <c r="N318" s="386">
        <v>51</v>
      </c>
      <c r="O318" s="134"/>
      <c r="P318" s="428"/>
      <c r="Q318" s="135"/>
      <c r="R318" s="428"/>
      <c r="S318" s="135">
        <v>1035</v>
      </c>
      <c r="T318" s="428">
        <v>51</v>
      </c>
      <c r="U318" s="135"/>
      <c r="V318" s="428"/>
      <c r="W318" s="136">
        <f t="shared" si="274"/>
        <v>0</v>
      </c>
      <c r="X318" s="136"/>
      <c r="Y318" s="138"/>
      <c r="Z318" s="138"/>
      <c r="AA318" s="144"/>
      <c r="AC318" s="140" t="str">
        <f t="shared" si="278"/>
        <v>「建物の結露」学芸出版社 (2003/04)</v>
      </c>
    </row>
    <row r="319" spans="1:30" ht="14.2" customHeight="1" x14ac:dyDescent="0.25">
      <c r="A319" s="128" t="s">
        <v>163</v>
      </c>
      <c r="B319" s="145"/>
      <c r="C319" s="364"/>
      <c r="D319" s="130"/>
      <c r="E319" s="387"/>
      <c r="F319" s="131"/>
      <c r="G319" s="383"/>
      <c r="H319" s="132">
        <v>0.15</v>
      </c>
      <c r="I319" s="129"/>
      <c r="J319" s="369"/>
      <c r="K319" s="130">
        <f t="shared" si="277"/>
        <v>0</v>
      </c>
      <c r="L319" s="382">
        <v>90</v>
      </c>
      <c r="M319" s="133">
        <v>4.5</v>
      </c>
      <c r="N319" s="386">
        <v>51</v>
      </c>
      <c r="O319" s="134"/>
      <c r="P319" s="428"/>
      <c r="Q319" s="135"/>
      <c r="R319" s="428"/>
      <c r="S319" s="135">
        <v>973</v>
      </c>
      <c r="T319" s="428">
        <v>51</v>
      </c>
      <c r="U319" s="135"/>
      <c r="V319" s="428"/>
      <c r="W319" s="136">
        <f t="shared" si="274"/>
        <v>0</v>
      </c>
      <c r="X319" s="136"/>
      <c r="Y319" s="138"/>
      <c r="Z319" s="138"/>
      <c r="AA319" s="144"/>
      <c r="AC319" s="140" t="str">
        <f t="shared" si="278"/>
        <v>「建物の結露」学芸出版社 (2003/04)</v>
      </c>
    </row>
    <row r="320" spans="1:30" ht="14.2" customHeight="1" x14ac:dyDescent="0.25">
      <c r="A320" s="128" t="s">
        <v>175</v>
      </c>
      <c r="B320" s="145"/>
      <c r="C320" s="364"/>
      <c r="D320" s="130"/>
      <c r="E320" s="387"/>
      <c r="F320" s="131"/>
      <c r="G320" s="383"/>
      <c r="H320" s="132">
        <v>0.13</v>
      </c>
      <c r="I320" s="129"/>
      <c r="J320" s="369"/>
      <c r="K320" s="130">
        <f t="shared" si="277"/>
        <v>0</v>
      </c>
      <c r="L320" s="382">
        <v>90</v>
      </c>
      <c r="M320" s="133">
        <v>1.0900000000000001</v>
      </c>
      <c r="N320" s="386">
        <v>51</v>
      </c>
      <c r="O320" s="134"/>
      <c r="P320" s="428"/>
      <c r="Q320" s="135"/>
      <c r="R320" s="428"/>
      <c r="S320" s="135">
        <v>369</v>
      </c>
      <c r="T320" s="428">
        <v>51</v>
      </c>
      <c r="U320" s="135"/>
      <c r="V320" s="428"/>
      <c r="W320" s="136">
        <f t="shared" si="274"/>
        <v>0</v>
      </c>
      <c r="X320" s="136"/>
      <c r="Y320" s="138"/>
      <c r="Z320" s="138"/>
      <c r="AA320" s="144"/>
      <c r="AC320" s="140" t="str">
        <f t="shared" si="278"/>
        <v>「建物の結露」学芸出版社 (2003/04)</v>
      </c>
    </row>
    <row r="321" spans="1:30" ht="14.2" customHeight="1" x14ac:dyDescent="0.25">
      <c r="A321" s="128" t="s">
        <v>176</v>
      </c>
      <c r="B321" s="145"/>
      <c r="C321" s="364"/>
      <c r="D321" s="130"/>
      <c r="E321" s="387"/>
      <c r="F321" s="131"/>
      <c r="G321" s="383"/>
      <c r="H321" s="132">
        <v>0.13</v>
      </c>
      <c r="I321" s="129"/>
      <c r="J321" s="369"/>
      <c r="K321" s="130">
        <f t="shared" si="277"/>
        <v>0</v>
      </c>
      <c r="L321" s="382">
        <v>90</v>
      </c>
      <c r="M321" s="133">
        <v>0.98</v>
      </c>
      <c r="N321" s="386">
        <v>51</v>
      </c>
      <c r="O321" s="134"/>
      <c r="P321" s="428"/>
      <c r="Q321" s="135"/>
      <c r="R321" s="428"/>
      <c r="S321" s="135">
        <v>331</v>
      </c>
      <c r="T321" s="428">
        <v>51</v>
      </c>
      <c r="U321" s="135"/>
      <c r="V321" s="428"/>
      <c r="W321" s="136">
        <f t="shared" si="274"/>
        <v>0</v>
      </c>
      <c r="X321" s="136"/>
      <c r="Y321" s="138"/>
      <c r="Z321" s="138"/>
      <c r="AA321" s="144"/>
      <c r="AC321" s="140" t="str">
        <f t="shared" si="278"/>
        <v>「建物の結露」学芸出版社 (2003/04)</v>
      </c>
    </row>
    <row r="322" spans="1:30" ht="14.2" customHeight="1" x14ac:dyDescent="0.25">
      <c r="A322" s="128" t="s">
        <v>279</v>
      </c>
      <c r="B322" s="145"/>
      <c r="C322" s="364"/>
      <c r="D322" s="130"/>
      <c r="E322" s="387"/>
      <c r="F322" s="131"/>
      <c r="G322" s="383"/>
      <c r="H322" s="132">
        <v>0.5</v>
      </c>
      <c r="I322" s="129"/>
      <c r="J322" s="369"/>
      <c r="K322" s="130">
        <f t="shared" si="277"/>
        <v>0</v>
      </c>
      <c r="L322" s="382">
        <v>90</v>
      </c>
      <c r="M322" s="133">
        <v>0.63</v>
      </c>
      <c r="N322" s="386">
        <v>51</v>
      </c>
      <c r="O322" s="134"/>
      <c r="P322" s="428"/>
      <c r="Q322" s="135"/>
      <c r="R322" s="428"/>
      <c r="S322" s="135">
        <v>473</v>
      </c>
      <c r="T322" s="428">
        <v>51</v>
      </c>
      <c r="U322" s="135"/>
      <c r="V322" s="428"/>
      <c r="W322" s="136">
        <f t="shared" si="274"/>
        <v>0</v>
      </c>
      <c r="X322" s="136"/>
      <c r="Y322" s="138"/>
      <c r="Z322" s="138"/>
      <c r="AA322" s="141"/>
      <c r="AC322" s="140" t="str">
        <f t="shared" si="278"/>
        <v>「建物の結露」学芸出版社 (2003/04)</v>
      </c>
    </row>
    <row r="323" spans="1:30" ht="14.2" customHeight="1" x14ac:dyDescent="0.25">
      <c r="A323" s="128" t="s">
        <v>280</v>
      </c>
      <c r="B323" s="145"/>
      <c r="C323" s="364"/>
      <c r="D323" s="130"/>
      <c r="E323" s="387"/>
      <c r="F323" s="131"/>
      <c r="G323" s="383"/>
      <c r="H323" s="132">
        <v>0.1</v>
      </c>
      <c r="I323" s="129"/>
      <c r="J323" s="369"/>
      <c r="K323" s="130">
        <f t="shared" si="277"/>
        <v>0</v>
      </c>
      <c r="L323" s="382">
        <v>90</v>
      </c>
      <c r="M323" s="133">
        <v>2.7</v>
      </c>
      <c r="N323" s="386">
        <v>51</v>
      </c>
      <c r="O323" s="134"/>
      <c r="P323" s="428"/>
      <c r="Q323" s="135"/>
      <c r="R323" s="428"/>
      <c r="S323" s="135"/>
      <c r="T323" s="428"/>
      <c r="U323" s="135"/>
      <c r="V323" s="428"/>
      <c r="W323" s="136">
        <f t="shared" si="274"/>
        <v>0</v>
      </c>
      <c r="X323" s="136"/>
      <c r="Y323" s="138"/>
      <c r="Z323" s="138"/>
      <c r="AA323" s="141" t="s">
        <v>164</v>
      </c>
      <c r="AC323" s="140" t="str">
        <f t="shared" si="278"/>
        <v>「建物の結露」学芸出版社 (2003/04)</v>
      </c>
    </row>
    <row r="324" spans="1:30" ht="14.2" customHeight="1" x14ac:dyDescent="0.25">
      <c r="A324" s="128" t="s">
        <v>281</v>
      </c>
      <c r="B324" s="145"/>
      <c r="C324" s="364"/>
      <c r="D324" s="130"/>
      <c r="E324" s="387"/>
      <c r="F324" s="131"/>
      <c r="G324" s="383"/>
      <c r="H324" s="132">
        <v>0.1</v>
      </c>
      <c r="I324" s="129"/>
      <c r="J324" s="369"/>
      <c r="K324" s="130">
        <f t="shared" si="277"/>
        <v>0</v>
      </c>
      <c r="L324" s="382">
        <v>90</v>
      </c>
      <c r="M324" s="133">
        <v>4.0999999999999996</v>
      </c>
      <c r="N324" s="386">
        <v>51</v>
      </c>
      <c r="O324" s="134"/>
      <c r="P324" s="428"/>
      <c r="Q324" s="135"/>
      <c r="R324" s="428"/>
      <c r="S324" s="135"/>
      <c r="T324" s="428"/>
      <c r="U324" s="135"/>
      <c r="V324" s="428"/>
      <c r="W324" s="136">
        <f t="shared" si="274"/>
        <v>0</v>
      </c>
      <c r="X324" s="136"/>
      <c r="Y324" s="138"/>
      <c r="Z324" s="138"/>
      <c r="AA324" s="141" t="s">
        <v>164</v>
      </c>
      <c r="AC324" s="140" t="str">
        <f t="shared" si="278"/>
        <v>「建物の結露」学芸出版社 (2003/04)</v>
      </c>
    </row>
    <row r="325" spans="1:30" ht="14.2" customHeight="1" x14ac:dyDescent="0.25">
      <c r="A325" s="128" t="s">
        <v>282</v>
      </c>
      <c r="B325" s="145"/>
      <c r="C325" s="364"/>
      <c r="D325" s="130"/>
      <c r="E325" s="387"/>
      <c r="F325" s="131"/>
      <c r="G325" s="383"/>
      <c r="H325" s="132">
        <v>0.1</v>
      </c>
      <c r="I325" s="129"/>
      <c r="J325" s="369"/>
      <c r="K325" s="130">
        <f t="shared" si="277"/>
        <v>0</v>
      </c>
      <c r="L325" s="382">
        <v>90</v>
      </c>
      <c r="M325" s="133">
        <v>3.8</v>
      </c>
      <c r="N325" s="386">
        <v>51</v>
      </c>
      <c r="O325" s="134"/>
      <c r="P325" s="428"/>
      <c r="Q325" s="135"/>
      <c r="R325" s="428"/>
      <c r="S325" s="135"/>
      <c r="T325" s="428"/>
      <c r="U325" s="135"/>
      <c r="V325" s="428"/>
      <c r="W325" s="136">
        <f t="shared" si="274"/>
        <v>0</v>
      </c>
      <c r="X325" s="136"/>
      <c r="Y325" s="138"/>
      <c r="Z325" s="138"/>
      <c r="AA325" s="141" t="s">
        <v>164</v>
      </c>
      <c r="AC325" s="140" t="str">
        <f t="shared" si="278"/>
        <v>「建物の結露」学芸出版社 (2003/04)</v>
      </c>
    </row>
    <row r="326" spans="1:30" ht="14.2" customHeight="1" x14ac:dyDescent="0.25">
      <c r="A326" s="128" t="s">
        <v>283</v>
      </c>
      <c r="B326" s="145"/>
      <c r="C326" s="364"/>
      <c r="D326" s="130"/>
      <c r="E326" s="387"/>
      <c r="F326" s="131"/>
      <c r="G326" s="383"/>
      <c r="H326" s="132">
        <v>0.1</v>
      </c>
      <c r="I326" s="129"/>
      <c r="J326" s="369"/>
      <c r="K326" s="130">
        <v>2.9499999999999998E-2</v>
      </c>
      <c r="L326" s="420">
        <v>22</v>
      </c>
      <c r="M326" s="133">
        <f t="shared" ref="M326:M333" si="279">K326*1000000000*0.00750062/3600</f>
        <v>61.463413888888894</v>
      </c>
      <c r="N326" s="383">
        <v>90</v>
      </c>
      <c r="O326" s="134"/>
      <c r="P326" s="428"/>
      <c r="Q326" s="135"/>
      <c r="R326" s="428"/>
      <c r="S326" s="135"/>
      <c r="T326" s="428"/>
      <c r="U326" s="135"/>
      <c r="V326" s="428"/>
      <c r="W326" s="136">
        <f t="shared" si="274"/>
        <v>0</v>
      </c>
      <c r="X326" s="136"/>
      <c r="Y326" s="138">
        <f t="shared" si="275"/>
        <v>57982.664891712768</v>
      </c>
      <c r="Z326" s="138">
        <f t="shared" si="276"/>
        <v>5.7982664891712767</v>
      </c>
      <c r="AA326" s="141"/>
      <c r="AC326" s="103" t="s">
        <v>416</v>
      </c>
    </row>
    <row r="327" spans="1:30" ht="14.2" customHeight="1" x14ac:dyDescent="0.25">
      <c r="A327" s="128" t="s">
        <v>284</v>
      </c>
      <c r="B327" s="145"/>
      <c r="C327" s="364"/>
      <c r="D327" s="130"/>
      <c r="E327" s="387"/>
      <c r="F327" s="131"/>
      <c r="G327" s="383"/>
      <c r="H327" s="132">
        <v>0.1</v>
      </c>
      <c r="I327" s="129"/>
      <c r="J327" s="369"/>
      <c r="K327" s="130">
        <v>3.5000000000000001E-3</v>
      </c>
      <c r="L327" s="414">
        <v>22</v>
      </c>
      <c r="M327" s="133">
        <f t="shared" si="279"/>
        <v>7.2922694444444449</v>
      </c>
      <c r="N327" s="383">
        <v>90</v>
      </c>
      <c r="O327" s="134"/>
      <c r="P327" s="428"/>
      <c r="Q327" s="135"/>
      <c r="R327" s="428"/>
      <c r="S327" s="135"/>
      <c r="T327" s="428"/>
      <c r="U327" s="135"/>
      <c r="V327" s="428"/>
      <c r="W327" s="136">
        <f t="shared" si="274"/>
        <v>0</v>
      </c>
      <c r="X327" s="136"/>
      <c r="Y327" s="138">
        <f t="shared" si="275"/>
        <v>6879.2992244404995</v>
      </c>
      <c r="Z327" s="138">
        <f t="shared" si="276"/>
        <v>0.68792992244404993</v>
      </c>
      <c r="AA327" s="144"/>
      <c r="AC327" s="103" t="s">
        <v>416</v>
      </c>
    </row>
    <row r="328" spans="1:30" ht="14.2" customHeight="1" x14ac:dyDescent="0.25">
      <c r="A328" s="128" t="s">
        <v>285</v>
      </c>
      <c r="B328" s="145"/>
      <c r="C328" s="364"/>
      <c r="D328" s="130"/>
      <c r="E328" s="387"/>
      <c r="F328" s="131"/>
      <c r="G328" s="383"/>
      <c r="H328" s="132">
        <v>0.1</v>
      </c>
      <c r="I328" s="129"/>
      <c r="J328" s="369"/>
      <c r="K328" s="130">
        <v>1.4E-2</v>
      </c>
      <c r="L328" s="420">
        <v>22</v>
      </c>
      <c r="M328" s="133">
        <f t="shared" si="279"/>
        <v>29.16907777777778</v>
      </c>
      <c r="N328" s="383">
        <v>90</v>
      </c>
      <c r="O328" s="134"/>
      <c r="P328" s="428"/>
      <c r="Q328" s="135"/>
      <c r="R328" s="428"/>
      <c r="S328" s="135"/>
      <c r="T328" s="428"/>
      <c r="U328" s="135"/>
      <c r="V328" s="428"/>
      <c r="W328" s="136">
        <f t="shared" si="274"/>
        <v>0</v>
      </c>
      <c r="X328" s="136"/>
      <c r="Y328" s="138">
        <f t="shared" si="275"/>
        <v>27517.196897761998</v>
      </c>
      <c r="Z328" s="138">
        <f t="shared" si="276"/>
        <v>2.7517196897761997</v>
      </c>
      <c r="AA328" s="144"/>
      <c r="AC328" s="103" t="s">
        <v>416</v>
      </c>
    </row>
    <row r="329" spans="1:30" ht="14.2" customHeight="1" x14ac:dyDescent="0.25">
      <c r="A329" s="128" t="s">
        <v>31</v>
      </c>
      <c r="B329" s="145"/>
      <c r="C329" s="364"/>
      <c r="D329" s="130"/>
      <c r="E329" s="387"/>
      <c r="F329" s="131"/>
      <c r="G329" s="383"/>
      <c r="H329" s="132">
        <v>0.1</v>
      </c>
      <c r="I329" s="129"/>
      <c r="J329" s="369"/>
      <c r="K329" s="130">
        <v>8.0000000000000002E-3</v>
      </c>
      <c r="L329" s="414">
        <v>22</v>
      </c>
      <c r="M329" s="133">
        <f t="shared" si="279"/>
        <v>16.668044444444448</v>
      </c>
      <c r="N329" s="383">
        <v>90</v>
      </c>
      <c r="O329" s="134"/>
      <c r="P329" s="428"/>
      <c r="Q329" s="135"/>
      <c r="R329" s="428"/>
      <c r="S329" s="135"/>
      <c r="T329" s="428"/>
      <c r="U329" s="135"/>
      <c r="V329" s="428"/>
      <c r="W329" s="136">
        <f t="shared" si="274"/>
        <v>0</v>
      </c>
      <c r="X329" s="136"/>
      <c r="Y329" s="138">
        <f t="shared" si="275"/>
        <v>15724.112513006856</v>
      </c>
      <c r="Z329" s="138">
        <f t="shared" si="276"/>
        <v>1.5724112513006856</v>
      </c>
      <c r="AA329" s="144"/>
      <c r="AC329" s="103" t="s">
        <v>416</v>
      </c>
    </row>
    <row r="330" spans="1:30" ht="14.2" customHeight="1" x14ac:dyDescent="0.25">
      <c r="A330" s="128" t="s">
        <v>32</v>
      </c>
      <c r="B330" s="145"/>
      <c r="C330" s="364"/>
      <c r="D330" s="130"/>
      <c r="E330" s="387"/>
      <c r="F330" s="131"/>
      <c r="G330" s="383"/>
      <c r="H330" s="132">
        <v>0.1</v>
      </c>
      <c r="I330" s="129"/>
      <c r="J330" s="369"/>
      <c r="K330" s="130">
        <v>2.3999999999999998E-3</v>
      </c>
      <c r="L330" s="420">
        <v>22</v>
      </c>
      <c r="M330" s="133">
        <f t="shared" si="279"/>
        <v>5.0004133333333334</v>
      </c>
      <c r="N330" s="383">
        <v>90</v>
      </c>
      <c r="O330" s="134"/>
      <c r="P330" s="428"/>
      <c r="Q330" s="135"/>
      <c r="R330" s="428"/>
      <c r="S330" s="135"/>
      <c r="T330" s="428"/>
      <c r="U330" s="135"/>
      <c r="V330" s="428"/>
      <c r="W330" s="136">
        <f t="shared" si="274"/>
        <v>0</v>
      </c>
      <c r="X330" s="136"/>
      <c r="Y330" s="138">
        <f t="shared" si="275"/>
        <v>4717.2337539020555</v>
      </c>
      <c r="Z330" s="138">
        <f t="shared" si="276"/>
        <v>0.47172337539020559</v>
      </c>
      <c r="AA330" s="144"/>
      <c r="AC330" s="103" t="s">
        <v>416</v>
      </c>
    </row>
    <row r="331" spans="1:30" ht="14.2" customHeight="1" x14ac:dyDescent="0.25">
      <c r="A331" s="128" t="s">
        <v>33</v>
      </c>
      <c r="B331" s="145"/>
      <c r="C331" s="364"/>
      <c r="D331" s="130"/>
      <c r="E331" s="387"/>
      <c r="F331" s="131"/>
      <c r="G331" s="383"/>
      <c r="H331" s="132">
        <v>0.1</v>
      </c>
      <c r="I331" s="129"/>
      <c r="J331" s="369"/>
      <c r="K331" s="130">
        <v>5.7000000000000002E-3</v>
      </c>
      <c r="L331" s="414">
        <v>22</v>
      </c>
      <c r="M331" s="133">
        <f t="shared" si="279"/>
        <v>11.875981666666666</v>
      </c>
      <c r="N331" s="383">
        <v>90</v>
      </c>
      <c r="O331" s="134"/>
      <c r="P331" s="428"/>
      <c r="Q331" s="135"/>
      <c r="R331" s="428"/>
      <c r="S331" s="135"/>
      <c r="T331" s="428"/>
      <c r="U331" s="135"/>
      <c r="V331" s="428"/>
      <c r="W331" s="136">
        <f t="shared" si="274"/>
        <v>0</v>
      </c>
      <c r="X331" s="136"/>
      <c r="Y331" s="138">
        <f t="shared" si="275"/>
        <v>11203.430165517384</v>
      </c>
      <c r="Z331" s="138">
        <f t="shared" si="276"/>
        <v>1.1203430165517385</v>
      </c>
      <c r="AA331" s="144"/>
      <c r="AC331" s="103" t="s">
        <v>416</v>
      </c>
    </row>
    <row r="332" spans="1:30" ht="13.5" customHeight="1" x14ac:dyDescent="0.25">
      <c r="A332" s="128" t="s">
        <v>34</v>
      </c>
      <c r="B332" s="145"/>
      <c r="C332" s="364"/>
      <c r="D332" s="130"/>
      <c r="E332" s="387"/>
      <c r="F332" s="131"/>
      <c r="G332" s="383"/>
      <c r="H332" s="132">
        <v>0.1</v>
      </c>
      <c r="I332" s="129"/>
      <c r="J332" s="369"/>
      <c r="K332" s="130">
        <v>7.4000000000000003E-3</v>
      </c>
      <c r="L332" s="420">
        <v>22</v>
      </c>
      <c r="M332" s="133">
        <f t="shared" si="279"/>
        <v>15.417941111111112</v>
      </c>
      <c r="N332" s="383">
        <v>90</v>
      </c>
      <c r="O332" s="134"/>
      <c r="P332" s="428"/>
      <c r="Q332" s="135"/>
      <c r="R332" s="428"/>
      <c r="S332" s="135"/>
      <c r="T332" s="428"/>
      <c r="U332" s="135"/>
      <c r="V332" s="428"/>
      <c r="W332" s="136">
        <f t="shared" si="274"/>
        <v>0</v>
      </c>
      <c r="X332" s="136"/>
      <c r="Y332" s="138">
        <f t="shared" si="275"/>
        <v>14544.804074531341</v>
      </c>
      <c r="Z332" s="138">
        <f t="shared" si="276"/>
        <v>1.4544804074531341</v>
      </c>
      <c r="AA332" s="144"/>
      <c r="AC332" s="103" t="s">
        <v>416</v>
      </c>
    </row>
    <row r="333" spans="1:30" ht="14.2" customHeight="1" thickBot="1" x14ac:dyDescent="0.3">
      <c r="A333" s="188" t="s">
        <v>222</v>
      </c>
      <c r="B333" s="189"/>
      <c r="C333" s="372"/>
      <c r="D333" s="130"/>
      <c r="E333" s="387"/>
      <c r="F333" s="158"/>
      <c r="G333" s="391"/>
      <c r="H333" s="132">
        <v>0.1</v>
      </c>
      <c r="I333" s="229"/>
      <c r="J333" s="376"/>
      <c r="K333" s="243">
        <v>6.8500000000000002E-3</v>
      </c>
      <c r="L333" s="421">
        <v>22</v>
      </c>
      <c r="M333" s="133">
        <f t="shared" si="279"/>
        <v>14.272013055555556</v>
      </c>
      <c r="N333" s="383">
        <v>90</v>
      </c>
      <c r="O333" s="191"/>
      <c r="P333" s="434"/>
      <c r="Q333" s="142"/>
      <c r="R333" s="434"/>
      <c r="S333" s="142"/>
      <c r="T333" s="434"/>
      <c r="U333" s="142"/>
      <c r="V333" s="434"/>
      <c r="W333" s="136">
        <f t="shared" si="274"/>
        <v>0</v>
      </c>
      <c r="X333" s="136"/>
      <c r="Y333" s="138">
        <f t="shared" si="275"/>
        <v>13463.771339262119</v>
      </c>
      <c r="Z333" s="138">
        <f t="shared" si="276"/>
        <v>1.3463771339262121</v>
      </c>
      <c r="AA333" s="143"/>
      <c r="AC333" s="103" t="s">
        <v>416</v>
      </c>
    </row>
    <row r="334" spans="1:30" ht="21" customHeight="1" thickTop="1" x14ac:dyDescent="0.25">
      <c r="A334" s="161" t="s">
        <v>478</v>
      </c>
      <c r="B334" s="162"/>
      <c r="C334" s="366"/>
      <c r="D334" s="163"/>
      <c r="E334" s="366"/>
      <c r="F334" s="162"/>
      <c r="G334" s="366"/>
      <c r="H334" s="162"/>
      <c r="I334" s="162"/>
      <c r="J334" s="366"/>
      <c r="K334" s="163"/>
      <c r="L334" s="366"/>
      <c r="M334" s="162"/>
      <c r="N334" s="366"/>
      <c r="O334" s="162"/>
      <c r="P334" s="366"/>
      <c r="Q334" s="162"/>
      <c r="R334" s="366"/>
      <c r="S334" s="162"/>
      <c r="T334" s="366"/>
      <c r="U334" s="162"/>
      <c r="V334" s="366"/>
      <c r="W334" s="164"/>
      <c r="X334" s="164"/>
      <c r="Y334" s="165"/>
      <c r="Z334" s="165"/>
      <c r="AA334" s="166"/>
    </row>
    <row r="335" spans="1:30" ht="14.2" customHeight="1" x14ac:dyDescent="0.25">
      <c r="A335" s="244" t="s">
        <v>482</v>
      </c>
      <c r="B335" s="245">
        <v>1.5800000000000002E-2</v>
      </c>
      <c r="C335" s="377">
        <v>50</v>
      </c>
      <c r="D335" s="169"/>
      <c r="E335" s="406"/>
      <c r="F335" s="202"/>
      <c r="G335" s="385"/>
      <c r="H335" s="246"/>
      <c r="I335" s="129"/>
      <c r="J335" s="364"/>
      <c r="K335" s="247"/>
      <c r="L335" s="383"/>
      <c r="M335" s="133"/>
      <c r="N335" s="383"/>
      <c r="O335" s="149">
        <f t="shared" ref="O335:O342" si="280">Q335*S335</f>
        <v>1.677</v>
      </c>
      <c r="P335" s="428">
        <v>90</v>
      </c>
      <c r="Q335" s="248">
        <v>2.15</v>
      </c>
      <c r="R335" s="439">
        <v>54</v>
      </c>
      <c r="S335" s="248">
        <v>0.78</v>
      </c>
      <c r="T335" s="439">
        <v>50</v>
      </c>
      <c r="U335" s="248"/>
      <c r="V335" s="439"/>
      <c r="W335" s="136">
        <f t="shared" ref="W335:W342" si="281">SQRT(B335*O335*1000)</f>
        <v>5.1474848227071055</v>
      </c>
      <c r="X335" s="136"/>
      <c r="Y335" s="249"/>
      <c r="Z335" s="249"/>
      <c r="AA335" s="250"/>
      <c r="AB335" s="140" t="str">
        <f>VLOOKUP(C335,$B$399:$C$431,2,FALSE)</f>
        <v>「建築の結露」井上書院</v>
      </c>
      <c r="AC335" s="140"/>
      <c r="AD335" s="103" t="s">
        <v>446</v>
      </c>
    </row>
    <row r="336" spans="1:30" ht="14.2" customHeight="1" x14ac:dyDescent="0.25">
      <c r="A336" s="167" t="s">
        <v>483</v>
      </c>
      <c r="B336" s="251">
        <v>2.41E-2</v>
      </c>
      <c r="C336" s="369">
        <v>50</v>
      </c>
      <c r="D336" s="157">
        <v>5.9899999999999997E-3</v>
      </c>
      <c r="E336" s="383">
        <v>90</v>
      </c>
      <c r="F336" s="131">
        <f>D336/(3600*10^-9/760*1.013*10^5)</f>
        <v>12.483273006471427</v>
      </c>
      <c r="G336" s="386">
        <v>90</v>
      </c>
      <c r="H336" s="253">
        <v>1000</v>
      </c>
      <c r="I336" s="129">
        <f t="shared" ref="I336:I337" si="282">H336/B336/1000</f>
        <v>41.493775933609953</v>
      </c>
      <c r="J336" s="364">
        <v>90</v>
      </c>
      <c r="K336" s="247">
        <f>D336*H336</f>
        <v>5.9899999999999993</v>
      </c>
      <c r="L336" s="382">
        <v>90</v>
      </c>
      <c r="M336" s="133">
        <f t="shared" ref="M336:M337" si="283">K336*1000000000*0.00750062/3600</f>
        <v>12480.198277777778</v>
      </c>
      <c r="N336" s="383">
        <v>90</v>
      </c>
      <c r="O336" s="149">
        <f t="shared" si="280"/>
        <v>1.2994649999999999</v>
      </c>
      <c r="P336" s="428">
        <v>90</v>
      </c>
      <c r="Q336" s="135">
        <v>1.0049999999999999</v>
      </c>
      <c r="R336" s="428">
        <v>40</v>
      </c>
      <c r="S336" s="180">
        <v>1.2929999999999999</v>
      </c>
      <c r="T336" s="432">
        <v>50</v>
      </c>
      <c r="U336" s="180"/>
      <c r="V336" s="432"/>
      <c r="W336" s="136">
        <f>SQRT(B336*O336*1000)</f>
        <v>5.5961689127473626</v>
      </c>
      <c r="X336" s="136"/>
      <c r="Y336" s="138">
        <v>1</v>
      </c>
      <c r="Z336" s="138">
        <v>1</v>
      </c>
      <c r="AA336" s="139"/>
      <c r="AB336" s="140" t="str">
        <f t="shared" ref="AB336" si="284">VLOOKUP(C336,$B$398:$C$430,2,FALSE)</f>
        <v>「建築の結露」井上書院</v>
      </c>
      <c r="AD336" s="103" t="s">
        <v>446</v>
      </c>
    </row>
    <row r="337" spans="1:30" ht="14.2" customHeight="1" x14ac:dyDescent="0.25">
      <c r="A337" s="167" t="s">
        <v>718</v>
      </c>
      <c r="B337" s="251">
        <v>2.5999999999999999E-2</v>
      </c>
      <c r="C337" s="369">
        <v>90</v>
      </c>
      <c r="D337" s="157">
        <v>5.4900000000000001E-3</v>
      </c>
      <c r="E337" s="383">
        <v>90</v>
      </c>
      <c r="F337" s="131">
        <f>D337/(3600*10^-9/760*1.013*10^5)</f>
        <v>11.44126357354393</v>
      </c>
      <c r="G337" s="386">
        <v>90</v>
      </c>
      <c r="H337" s="253">
        <v>1000</v>
      </c>
      <c r="I337" s="129">
        <f t="shared" si="282"/>
        <v>38.46153846153846</v>
      </c>
      <c r="J337" s="364">
        <v>90</v>
      </c>
      <c r="K337" s="247">
        <f>D337*H337</f>
        <v>5.49</v>
      </c>
      <c r="L337" s="382">
        <v>90</v>
      </c>
      <c r="M337" s="133">
        <f t="shared" si="283"/>
        <v>11438.445500000002</v>
      </c>
      <c r="N337" s="383">
        <v>90</v>
      </c>
      <c r="O337" s="149">
        <f t="shared" si="280"/>
        <v>1.195128</v>
      </c>
      <c r="P337" s="428">
        <v>90</v>
      </c>
      <c r="Q337" s="135">
        <v>1.006</v>
      </c>
      <c r="R337" s="428">
        <v>90</v>
      </c>
      <c r="S337" s="180">
        <v>1.1879999999999999</v>
      </c>
      <c r="T337" s="432">
        <v>90</v>
      </c>
      <c r="U337" s="180"/>
      <c r="V337" s="432"/>
      <c r="W337" s="136">
        <f>SQRT(B337*O337*1000)</f>
        <v>5.574345522121857</v>
      </c>
      <c r="X337" s="136"/>
      <c r="Y337" s="138">
        <v>1</v>
      </c>
      <c r="Z337" s="138">
        <v>1</v>
      </c>
      <c r="AA337" s="139"/>
      <c r="AB337" s="140"/>
    </row>
    <row r="338" spans="1:30" ht="14.2" customHeight="1" x14ac:dyDescent="0.25">
      <c r="A338" s="167" t="s">
        <v>484</v>
      </c>
      <c r="B338" s="251">
        <v>0.58299999999999996</v>
      </c>
      <c r="C338" s="369">
        <v>50</v>
      </c>
      <c r="D338" s="157"/>
      <c r="E338" s="383"/>
      <c r="F338" s="131"/>
      <c r="G338" s="386"/>
      <c r="H338" s="253"/>
      <c r="I338" s="129"/>
      <c r="J338" s="364"/>
      <c r="K338" s="247"/>
      <c r="L338" s="383"/>
      <c r="M338" s="133"/>
      <c r="N338" s="383"/>
      <c r="O338" s="149">
        <f t="shared" si="280"/>
        <v>4198.7400000000007</v>
      </c>
      <c r="P338" s="428">
        <v>90</v>
      </c>
      <c r="Q338" s="135">
        <v>4.2</v>
      </c>
      <c r="R338" s="428">
        <v>40</v>
      </c>
      <c r="S338" s="180">
        <v>999.7</v>
      </c>
      <c r="T338" s="432">
        <v>50</v>
      </c>
      <c r="U338" s="180"/>
      <c r="V338" s="432"/>
      <c r="W338" s="136">
        <f t="shared" si="281"/>
        <v>1564.5655690957794</v>
      </c>
      <c r="X338" s="136"/>
      <c r="Y338" s="254"/>
      <c r="Z338" s="254"/>
      <c r="AA338" s="139"/>
      <c r="AB338" s="140" t="str">
        <f>VLOOKUP(C338,$B$399:$C$431,2,FALSE)</f>
        <v>「建築の結露」井上書院</v>
      </c>
      <c r="AD338" s="103" t="s">
        <v>446</v>
      </c>
    </row>
    <row r="339" spans="1:30" ht="14.2" customHeight="1" x14ac:dyDescent="0.25">
      <c r="A339" s="167" t="s">
        <v>485</v>
      </c>
      <c r="B339" s="251">
        <v>2.2010000000000001</v>
      </c>
      <c r="C339" s="369">
        <v>50</v>
      </c>
      <c r="D339" s="157"/>
      <c r="E339" s="383"/>
      <c r="F339" s="252"/>
      <c r="G339" s="386"/>
      <c r="H339" s="253"/>
      <c r="I339" s="129"/>
      <c r="J339" s="364"/>
      <c r="K339" s="247"/>
      <c r="L339" s="383"/>
      <c r="M339" s="133"/>
      <c r="N339" s="383"/>
      <c r="O339" s="149">
        <f t="shared" si="280"/>
        <v>1932</v>
      </c>
      <c r="P339" s="428">
        <v>90</v>
      </c>
      <c r="Q339" s="135">
        <v>2.1</v>
      </c>
      <c r="R339" s="428">
        <v>40</v>
      </c>
      <c r="S339" s="180">
        <v>920</v>
      </c>
      <c r="T339" s="432">
        <v>50</v>
      </c>
      <c r="U339" s="180"/>
      <c r="V339" s="432"/>
      <c r="W339" s="136">
        <f t="shared" si="281"/>
        <v>2062.1183283216315</v>
      </c>
      <c r="X339" s="136"/>
      <c r="Y339" s="254"/>
      <c r="Z339" s="254"/>
      <c r="AA339" s="139"/>
      <c r="AB339" s="140" t="str">
        <f>VLOOKUP(C339,$B$399:$C$431,2,FALSE)</f>
        <v>「建築の結露」井上書院</v>
      </c>
      <c r="AD339" s="103" t="s">
        <v>446</v>
      </c>
    </row>
    <row r="340" spans="1:30" ht="14.2" customHeight="1" x14ac:dyDescent="0.25">
      <c r="A340" s="128" t="s">
        <v>479</v>
      </c>
      <c r="B340" s="145">
        <v>6.9800000000000001E-2</v>
      </c>
      <c r="C340" s="364">
        <v>50</v>
      </c>
      <c r="D340" s="157"/>
      <c r="E340" s="383"/>
      <c r="F340" s="131"/>
      <c r="G340" s="383"/>
      <c r="H340" s="132"/>
      <c r="I340" s="129"/>
      <c r="J340" s="364"/>
      <c r="K340" s="247"/>
      <c r="L340" s="383"/>
      <c r="M340" s="133"/>
      <c r="N340" s="383"/>
      <c r="O340" s="149">
        <f t="shared" si="280"/>
        <v>180</v>
      </c>
      <c r="P340" s="428">
        <v>90</v>
      </c>
      <c r="Q340" s="135">
        <v>1.8</v>
      </c>
      <c r="R340" s="428">
        <v>40</v>
      </c>
      <c r="S340" s="185">
        <v>100</v>
      </c>
      <c r="T340" s="428">
        <v>50</v>
      </c>
      <c r="U340" s="185"/>
      <c r="V340" s="428"/>
      <c r="W340" s="136">
        <f t="shared" si="281"/>
        <v>112.08925015361643</v>
      </c>
      <c r="X340" s="136"/>
      <c r="Y340" s="254"/>
      <c r="Z340" s="254"/>
      <c r="AA340" s="144"/>
      <c r="AB340" s="140" t="str">
        <f>VLOOKUP(C340,$B$399:$C$431,2,FALSE)</f>
        <v>「建築の結露」井上書院</v>
      </c>
      <c r="AD340" s="103" t="s">
        <v>446</v>
      </c>
    </row>
    <row r="341" spans="1:30" ht="14.2" customHeight="1" x14ac:dyDescent="0.25">
      <c r="A341" s="128" t="s">
        <v>480</v>
      </c>
      <c r="B341" s="145">
        <v>0.157</v>
      </c>
      <c r="C341" s="364">
        <v>50</v>
      </c>
      <c r="D341" s="157"/>
      <c r="E341" s="383"/>
      <c r="F341" s="131"/>
      <c r="G341" s="383"/>
      <c r="H341" s="132"/>
      <c r="I341" s="129"/>
      <c r="J341" s="364"/>
      <c r="K341" s="247"/>
      <c r="L341" s="383"/>
      <c r="M341" s="133"/>
      <c r="N341" s="383"/>
      <c r="O341" s="149">
        <f t="shared" si="280"/>
        <v>530</v>
      </c>
      <c r="P341" s="428">
        <v>90</v>
      </c>
      <c r="Q341" s="185">
        <v>2.12</v>
      </c>
      <c r="R341" s="428">
        <v>54</v>
      </c>
      <c r="S341" s="185">
        <v>250</v>
      </c>
      <c r="T341" s="428">
        <v>50</v>
      </c>
      <c r="U341" s="185"/>
      <c r="V341" s="428"/>
      <c r="W341" s="136">
        <f t="shared" si="281"/>
        <v>288.46143589741769</v>
      </c>
      <c r="X341" s="136"/>
      <c r="Y341" s="254"/>
      <c r="Z341" s="254"/>
      <c r="AA341" s="144"/>
      <c r="AB341" s="140" t="str">
        <f>VLOOKUP(C341,$B$399:$C$431,2,FALSE)</f>
        <v>「建築の結露」井上書院</v>
      </c>
      <c r="AD341" s="140" t="str">
        <f>VLOOKUP(P341,$B$399:$C$431,2,FALSE)</f>
        <v>計算値</v>
      </c>
    </row>
    <row r="342" spans="1:30" ht="14.2" customHeight="1" thickBot="1" x14ac:dyDescent="0.3">
      <c r="A342" s="128" t="s">
        <v>481</v>
      </c>
      <c r="B342" s="145">
        <v>0.47099999999999997</v>
      </c>
      <c r="C342" s="364">
        <v>50</v>
      </c>
      <c r="D342" s="157"/>
      <c r="E342" s="383"/>
      <c r="F342" s="131"/>
      <c r="G342" s="383"/>
      <c r="H342" s="132"/>
      <c r="I342" s="129"/>
      <c r="J342" s="364"/>
      <c r="K342" s="247"/>
      <c r="L342" s="383"/>
      <c r="M342" s="133"/>
      <c r="N342" s="383"/>
      <c r="O342" s="149">
        <f t="shared" si="280"/>
        <v>1060</v>
      </c>
      <c r="P342" s="428">
        <v>90</v>
      </c>
      <c r="Q342" s="185">
        <v>2.12</v>
      </c>
      <c r="R342" s="428">
        <v>54</v>
      </c>
      <c r="S342" s="185">
        <v>500</v>
      </c>
      <c r="T342" s="428">
        <v>50</v>
      </c>
      <c r="U342" s="185"/>
      <c r="V342" s="428"/>
      <c r="W342" s="136">
        <f t="shared" si="281"/>
        <v>706.58332841923186</v>
      </c>
      <c r="X342" s="136"/>
      <c r="Y342" s="254"/>
      <c r="Z342" s="254"/>
      <c r="AA342" s="144"/>
      <c r="AB342" s="140" t="str">
        <f>VLOOKUP(C342,$B$399:$C$431,2,FALSE)</f>
        <v>「建築の結露」井上書院</v>
      </c>
      <c r="AD342" s="140" t="str">
        <f>VLOOKUP(P342,$B$399:$C$431,2,FALSE)</f>
        <v>計算値</v>
      </c>
    </row>
    <row r="343" spans="1:30" ht="21" customHeight="1" thickTop="1" x14ac:dyDescent="0.25">
      <c r="A343" s="161" t="s">
        <v>48</v>
      </c>
      <c r="B343" s="162"/>
      <c r="C343" s="366"/>
      <c r="D343" s="163"/>
      <c r="E343" s="366"/>
      <c r="F343" s="162"/>
      <c r="G343" s="366"/>
      <c r="H343" s="162"/>
      <c r="I343" s="162"/>
      <c r="J343" s="366"/>
      <c r="K343" s="163"/>
      <c r="L343" s="366"/>
      <c r="M343" s="162"/>
      <c r="N343" s="366"/>
      <c r="O343" s="162"/>
      <c r="P343" s="366"/>
      <c r="Q343" s="162"/>
      <c r="R343" s="366"/>
      <c r="S343" s="162"/>
      <c r="T343" s="366"/>
      <c r="U343" s="162"/>
      <c r="V343" s="366"/>
      <c r="W343" s="164"/>
      <c r="X343" s="164"/>
      <c r="Y343" s="165"/>
      <c r="Z343" s="165"/>
      <c r="AA343" s="166"/>
    </row>
    <row r="344" spans="1:30" ht="14.2" customHeight="1" x14ac:dyDescent="0.25">
      <c r="A344" s="167" t="s">
        <v>588</v>
      </c>
      <c r="B344" s="251"/>
      <c r="C344" s="369"/>
      <c r="D344" s="157"/>
      <c r="E344" s="383"/>
      <c r="F344" s="252"/>
      <c r="G344" s="386"/>
      <c r="H344" s="253">
        <v>10</v>
      </c>
      <c r="I344" s="129">
        <v>0.09</v>
      </c>
      <c r="J344" s="369">
        <v>10</v>
      </c>
      <c r="K344" s="157">
        <f t="shared" ref="K344" si="285">M344*3600*1000/760*1.013*10^5*10^-12</f>
        <v>1.1516210526315787E-4</v>
      </c>
      <c r="L344" s="382">
        <v>90</v>
      </c>
      <c r="M344" s="255">
        <v>0.24</v>
      </c>
      <c r="N344" s="386">
        <v>31</v>
      </c>
      <c r="O344" s="179">
        <v>1.298</v>
      </c>
      <c r="P344" s="432">
        <v>61</v>
      </c>
      <c r="Q344" s="180"/>
      <c r="R344" s="432"/>
      <c r="S344" s="180"/>
      <c r="T344" s="432"/>
      <c r="U344" s="180"/>
      <c r="V344" s="432"/>
      <c r="W344" s="136">
        <f t="shared" ref="W344" si="286">SQRT(B344*O344*1000)</f>
        <v>0</v>
      </c>
      <c r="X344" s="136"/>
      <c r="Y344" s="138">
        <f t="shared" ref="Y344" si="287">K344/0.001*((2*10^-7*(20+273)^0.81/101325)*10^12)</f>
        <v>22.635273754907917</v>
      </c>
      <c r="Z344" s="138">
        <f t="shared" ref="Z344" si="288">Y344*0.001</f>
        <v>2.2635273754907918E-2</v>
      </c>
      <c r="AA344" s="139" t="s">
        <v>589</v>
      </c>
      <c r="AB344" s="140" t="str">
        <f>VLOOKUP(J344,$B$399:$C$431,2,FALSE)</f>
        <v>H28年建築物省エネルギー法</v>
      </c>
      <c r="AC344" s="140" t="str">
        <f t="shared" ref="AC344" si="289">VLOOKUP(N344,$B$399:$C$431,2,FALSE)</f>
        <v>「結露防止ガイドブック」IBEC</v>
      </c>
      <c r="AD344" s="140" t="str">
        <f>VLOOKUP(P344,$B$399:$C$431,2,FALSE)</f>
        <v>smash マニュアル</v>
      </c>
    </row>
    <row r="345" spans="1:30" ht="14.2" customHeight="1" x14ac:dyDescent="0.25">
      <c r="A345" s="167" t="s">
        <v>583</v>
      </c>
      <c r="B345" s="251">
        <v>0.111</v>
      </c>
      <c r="C345" s="369">
        <v>90</v>
      </c>
      <c r="D345" s="157"/>
      <c r="E345" s="383"/>
      <c r="F345" s="131"/>
      <c r="G345" s="386"/>
      <c r="H345" s="253">
        <v>5</v>
      </c>
      <c r="I345" s="129">
        <f>0.09*H345/10</f>
        <v>4.4999999999999998E-2</v>
      </c>
      <c r="J345" s="369">
        <v>10</v>
      </c>
      <c r="K345" s="157">
        <f t="shared" ref="K345:K347" si="290">M345*3600*1000/760*1.013*10^5*10^-12</f>
        <v>1.1516210526315787E-4</v>
      </c>
      <c r="L345" s="382">
        <v>90</v>
      </c>
      <c r="M345" s="255">
        <v>0.24</v>
      </c>
      <c r="N345" s="386">
        <v>31</v>
      </c>
      <c r="O345" s="179">
        <v>1.298</v>
      </c>
      <c r="P345" s="432">
        <v>61</v>
      </c>
      <c r="Q345" s="180"/>
      <c r="R345" s="432"/>
      <c r="S345" s="180"/>
      <c r="T345" s="432"/>
      <c r="U345" s="180"/>
      <c r="V345" s="432"/>
      <c r="W345" s="136">
        <f t="shared" ref="W345:W353" si="291">SQRT(B345*O345*1000)</f>
        <v>12.003249560014988</v>
      </c>
      <c r="X345" s="136"/>
      <c r="Y345" s="138">
        <f t="shared" ref="Y345:Y353" si="292">K345/0.001*((2*10^-7*(20+273)^0.81/101325)*10^12)</f>
        <v>22.635273754907917</v>
      </c>
      <c r="Z345" s="138">
        <f t="shared" ref="Z345:Z353" si="293">Y345*0.001</f>
        <v>2.2635273754907918E-2</v>
      </c>
      <c r="AA345" s="139" t="s">
        <v>445</v>
      </c>
      <c r="AB345" s="140" t="str">
        <f>VLOOKUP(J345,$B$399:$C$431,2,FALSE)</f>
        <v>H28年建築物省エネルギー法</v>
      </c>
      <c r="AC345" s="140" t="str">
        <f t="shared" ref="AC345:AC353" si="294">VLOOKUP(N345,$B$399:$C$431,2,FALSE)</f>
        <v>「結露防止ガイドブック」IBEC</v>
      </c>
      <c r="AD345" s="140" t="str">
        <f>VLOOKUP(P345,$B$399:$C$431,2,FALSE)</f>
        <v>smash マニュアル</v>
      </c>
    </row>
    <row r="346" spans="1:30" ht="14.2" customHeight="1" x14ac:dyDescent="0.25">
      <c r="A346" s="167" t="s">
        <v>584</v>
      </c>
      <c r="B346" s="251"/>
      <c r="C346" s="369"/>
      <c r="D346" s="157"/>
      <c r="E346" s="383"/>
      <c r="F346" s="252"/>
      <c r="G346" s="386"/>
      <c r="H346" s="253">
        <v>10</v>
      </c>
      <c r="I346" s="129">
        <v>0.09</v>
      </c>
      <c r="J346" s="369">
        <v>10</v>
      </c>
      <c r="K346" s="157">
        <f t="shared" si="290"/>
        <v>1.1516210526315787E-4</v>
      </c>
      <c r="L346" s="382">
        <v>90</v>
      </c>
      <c r="M346" s="255">
        <v>0.24</v>
      </c>
      <c r="N346" s="386">
        <v>31</v>
      </c>
      <c r="O346" s="179">
        <v>1.298</v>
      </c>
      <c r="P346" s="432">
        <v>61</v>
      </c>
      <c r="Q346" s="180"/>
      <c r="R346" s="432"/>
      <c r="S346" s="180"/>
      <c r="T346" s="432"/>
      <c r="U346" s="180"/>
      <c r="V346" s="432"/>
      <c r="W346" s="136">
        <f t="shared" si="291"/>
        <v>0</v>
      </c>
      <c r="X346" s="136"/>
      <c r="Y346" s="138">
        <f t="shared" si="292"/>
        <v>22.635273754907917</v>
      </c>
      <c r="Z346" s="138">
        <f t="shared" si="293"/>
        <v>2.2635273754907918E-2</v>
      </c>
      <c r="AA346" s="139" t="s">
        <v>112</v>
      </c>
      <c r="AB346" s="140" t="str">
        <f>VLOOKUP(J346,$B$399:$C$431,2,FALSE)</f>
        <v>H28年建築物省エネルギー法</v>
      </c>
      <c r="AC346" s="140" t="str">
        <f t="shared" si="294"/>
        <v>「結露防止ガイドブック」IBEC</v>
      </c>
      <c r="AD346" s="140" t="str">
        <f>VLOOKUP(P346,$B$399:$C$431,2,FALSE)</f>
        <v>smash マニュアル</v>
      </c>
    </row>
    <row r="347" spans="1:30" ht="14.2" customHeight="1" x14ac:dyDescent="0.25">
      <c r="A347" s="128" t="s">
        <v>49</v>
      </c>
      <c r="B347" s="145"/>
      <c r="C347" s="364"/>
      <c r="D347" s="157"/>
      <c r="E347" s="383"/>
      <c r="F347" s="131"/>
      <c r="G347" s="383"/>
      <c r="H347" s="132"/>
      <c r="I347" s="129"/>
      <c r="J347" s="364"/>
      <c r="K347" s="157">
        <f t="shared" si="290"/>
        <v>9.596842105263157E-6</v>
      </c>
      <c r="L347" s="382">
        <v>90</v>
      </c>
      <c r="M347" s="133">
        <v>0.02</v>
      </c>
      <c r="N347" s="383">
        <v>31</v>
      </c>
      <c r="O347" s="149">
        <v>0</v>
      </c>
      <c r="P347" s="428">
        <v>61</v>
      </c>
      <c r="Q347" s="185"/>
      <c r="R347" s="428"/>
      <c r="S347" s="185"/>
      <c r="T347" s="428"/>
      <c r="U347" s="185"/>
      <c r="V347" s="428"/>
      <c r="W347" s="136">
        <f t="shared" si="291"/>
        <v>0</v>
      </c>
      <c r="X347" s="136"/>
      <c r="Y347" s="138">
        <f t="shared" si="292"/>
        <v>1.8862728129089932</v>
      </c>
      <c r="Z347" s="138">
        <f t="shared" si="293"/>
        <v>1.8862728129089932E-3</v>
      </c>
      <c r="AA347" s="144"/>
      <c r="AC347" s="140" t="str">
        <f t="shared" si="294"/>
        <v>「結露防止ガイドブック」IBEC</v>
      </c>
      <c r="AD347" s="140" t="str">
        <f>VLOOKUP(P347,$B$399:$C$431,2,FALSE)</f>
        <v>smash マニュアル</v>
      </c>
    </row>
    <row r="348" spans="1:30" ht="14.2" customHeight="1" x14ac:dyDescent="0.25">
      <c r="A348" s="128" t="s">
        <v>40</v>
      </c>
      <c r="B348" s="145"/>
      <c r="C348" s="364"/>
      <c r="D348" s="157"/>
      <c r="E348" s="383"/>
      <c r="F348" s="131"/>
      <c r="G348" s="383"/>
      <c r="H348" s="132"/>
      <c r="I348" s="129"/>
      <c r="J348" s="364"/>
      <c r="K348" s="157">
        <v>8.5999999999999998E-4</v>
      </c>
      <c r="L348" s="414">
        <v>11</v>
      </c>
      <c r="M348" s="133">
        <v>1.8</v>
      </c>
      <c r="N348" s="383">
        <v>11</v>
      </c>
      <c r="O348" s="149"/>
      <c r="P348" s="428"/>
      <c r="Q348" s="185"/>
      <c r="R348" s="428"/>
      <c r="S348" s="185"/>
      <c r="T348" s="428"/>
      <c r="U348" s="185"/>
      <c r="V348" s="428"/>
      <c r="W348" s="136">
        <f t="shared" si="291"/>
        <v>0</v>
      </c>
      <c r="X348" s="136"/>
      <c r="Y348" s="138">
        <f t="shared" si="292"/>
        <v>169.03420951482369</v>
      </c>
      <c r="Z348" s="138">
        <f t="shared" si="293"/>
        <v>0.1690342095148237</v>
      </c>
      <c r="AA348" s="144"/>
      <c r="AC348" s="140" t="str">
        <f t="shared" si="294"/>
        <v>Ｈ25年エネルギーの合理化に関する法律</v>
      </c>
      <c r="AD348" s="140"/>
    </row>
    <row r="349" spans="1:30" ht="14.2" customHeight="1" x14ac:dyDescent="0.25">
      <c r="A349" s="128" t="s">
        <v>41</v>
      </c>
      <c r="B349" s="145"/>
      <c r="C349" s="364"/>
      <c r="D349" s="157"/>
      <c r="E349" s="383"/>
      <c r="F349" s="131"/>
      <c r="G349" s="383"/>
      <c r="H349" s="132"/>
      <c r="I349" s="129"/>
      <c r="J349" s="364"/>
      <c r="K349" s="157">
        <v>1.6999999999999999E-3</v>
      </c>
      <c r="L349" s="414">
        <v>11</v>
      </c>
      <c r="M349" s="133">
        <v>3.6</v>
      </c>
      <c r="N349" s="383">
        <v>11</v>
      </c>
      <c r="O349" s="149"/>
      <c r="P349" s="428"/>
      <c r="Q349" s="185"/>
      <c r="R349" s="428"/>
      <c r="S349" s="185"/>
      <c r="T349" s="428"/>
      <c r="U349" s="185"/>
      <c r="V349" s="428"/>
      <c r="W349" s="136">
        <f t="shared" si="291"/>
        <v>0</v>
      </c>
      <c r="X349" s="136"/>
      <c r="Y349" s="138">
        <f t="shared" si="292"/>
        <v>334.13739090139569</v>
      </c>
      <c r="Z349" s="138">
        <f t="shared" si="293"/>
        <v>0.33413739090139571</v>
      </c>
      <c r="AA349" s="144"/>
      <c r="AC349" s="140" t="str">
        <f t="shared" si="294"/>
        <v>Ｈ25年エネルギーの合理化に関する法律</v>
      </c>
    </row>
    <row r="350" spans="1:30" ht="14.2" customHeight="1" x14ac:dyDescent="0.25">
      <c r="A350" s="128" t="s">
        <v>42</v>
      </c>
      <c r="B350" s="145"/>
      <c r="C350" s="364"/>
      <c r="D350" s="157"/>
      <c r="E350" s="383"/>
      <c r="F350" s="131"/>
      <c r="G350" s="383"/>
      <c r="H350" s="132"/>
      <c r="I350" s="129"/>
      <c r="J350" s="364"/>
      <c r="K350" s="157">
        <v>2.5999999999999999E-3</v>
      </c>
      <c r="L350" s="414">
        <v>11</v>
      </c>
      <c r="M350" s="133">
        <v>5.4</v>
      </c>
      <c r="N350" s="383">
        <v>11</v>
      </c>
      <c r="O350" s="149"/>
      <c r="P350" s="428"/>
      <c r="Q350" s="185"/>
      <c r="R350" s="428"/>
      <c r="S350" s="185"/>
      <c r="T350" s="428"/>
      <c r="U350" s="185"/>
      <c r="V350" s="428"/>
      <c r="W350" s="136">
        <f t="shared" si="291"/>
        <v>0</v>
      </c>
      <c r="X350" s="136"/>
      <c r="Y350" s="138">
        <f t="shared" si="292"/>
        <v>511.03365667272271</v>
      </c>
      <c r="Z350" s="138">
        <f t="shared" si="293"/>
        <v>0.51103365667272271</v>
      </c>
      <c r="AA350" s="144"/>
      <c r="AC350" s="140" t="str">
        <f t="shared" si="294"/>
        <v>Ｈ25年エネルギーの合理化に関する法律</v>
      </c>
    </row>
    <row r="351" spans="1:30" ht="14.2" customHeight="1" x14ac:dyDescent="0.25">
      <c r="A351" s="128" t="s">
        <v>669</v>
      </c>
      <c r="B351" s="145"/>
      <c r="C351" s="364"/>
      <c r="D351" s="157"/>
      <c r="E351" s="383"/>
      <c r="F351" s="131"/>
      <c r="G351" s="383"/>
      <c r="H351" s="132"/>
      <c r="I351" s="129"/>
      <c r="J351" s="364"/>
      <c r="K351" s="157">
        <v>5.9999999999999995E-4</v>
      </c>
      <c r="L351" s="414">
        <v>71</v>
      </c>
      <c r="M351" s="133">
        <v>1.22</v>
      </c>
      <c r="N351" s="383">
        <v>71</v>
      </c>
      <c r="O351" s="149"/>
      <c r="P351" s="428"/>
      <c r="Q351" s="185"/>
      <c r="R351" s="428"/>
      <c r="S351" s="185"/>
      <c r="T351" s="428"/>
      <c r="U351" s="185"/>
      <c r="V351" s="428"/>
      <c r="W351" s="136"/>
      <c r="X351" s="136"/>
      <c r="Y351" s="138">
        <f t="shared" si="292"/>
        <v>117.93084384755142</v>
      </c>
      <c r="Z351" s="138">
        <f t="shared" si="293"/>
        <v>0.11793084384755141</v>
      </c>
      <c r="AA351" s="144" t="s">
        <v>727</v>
      </c>
      <c r="AC351" s="140" t="str">
        <f t="shared" si="294"/>
        <v>メーカー公表値</v>
      </c>
    </row>
    <row r="352" spans="1:30" ht="14.2" customHeight="1" x14ac:dyDescent="0.25">
      <c r="A352" s="128" t="s">
        <v>43</v>
      </c>
      <c r="B352" s="145"/>
      <c r="C352" s="364"/>
      <c r="D352" s="157"/>
      <c r="E352" s="383"/>
      <c r="F352" s="131"/>
      <c r="G352" s="383"/>
      <c r="H352" s="132"/>
      <c r="I352" s="129"/>
      <c r="J352" s="364"/>
      <c r="K352" s="157">
        <v>1.6999999999999999E-3</v>
      </c>
      <c r="L352" s="414">
        <v>11</v>
      </c>
      <c r="M352" s="133">
        <v>3.6</v>
      </c>
      <c r="N352" s="383">
        <v>11</v>
      </c>
      <c r="O352" s="149"/>
      <c r="P352" s="428"/>
      <c r="Q352" s="185"/>
      <c r="R352" s="428"/>
      <c r="S352" s="185"/>
      <c r="T352" s="428"/>
      <c r="U352" s="185"/>
      <c r="V352" s="428"/>
      <c r="W352" s="136">
        <f t="shared" si="291"/>
        <v>0</v>
      </c>
      <c r="X352" s="136"/>
      <c r="Y352" s="138">
        <f t="shared" si="292"/>
        <v>334.13739090139569</v>
      </c>
      <c r="Z352" s="138">
        <f t="shared" si="293"/>
        <v>0.33413739090139571</v>
      </c>
      <c r="AA352" s="144"/>
      <c r="AC352" s="140" t="str">
        <f t="shared" si="294"/>
        <v>Ｈ25年エネルギーの合理化に関する法律</v>
      </c>
    </row>
    <row r="353" spans="1:29" ht="14.2" customHeight="1" thickBot="1" x14ac:dyDescent="0.3">
      <c r="A353" s="452" t="s">
        <v>116</v>
      </c>
      <c r="B353" s="219"/>
      <c r="C353" s="371"/>
      <c r="D353" s="210"/>
      <c r="E353" s="390"/>
      <c r="F353" s="256"/>
      <c r="G353" s="390"/>
      <c r="H353" s="221"/>
      <c r="I353" s="222"/>
      <c r="J353" s="371"/>
      <c r="K353" s="210">
        <v>2.5999999999999999E-3</v>
      </c>
      <c r="L353" s="421">
        <v>11</v>
      </c>
      <c r="M353" s="257">
        <v>5.4</v>
      </c>
      <c r="N353" s="390">
        <v>11</v>
      </c>
      <c r="O353" s="258"/>
      <c r="P353" s="436"/>
      <c r="Q353" s="259"/>
      <c r="R353" s="436"/>
      <c r="S353" s="259"/>
      <c r="T353" s="436"/>
      <c r="U353" s="259"/>
      <c r="V353" s="436"/>
      <c r="W353" s="136">
        <f t="shared" si="291"/>
        <v>0</v>
      </c>
      <c r="X353" s="136"/>
      <c r="Y353" s="138">
        <f t="shared" si="292"/>
        <v>511.03365667272271</v>
      </c>
      <c r="Z353" s="138">
        <f t="shared" si="293"/>
        <v>0.51103365667272271</v>
      </c>
      <c r="AA353" s="226"/>
      <c r="AC353" s="140" t="str">
        <f t="shared" si="294"/>
        <v>Ｈ25年エネルギーの合理化に関する法律</v>
      </c>
    </row>
    <row r="354" spans="1:29" ht="21" customHeight="1" thickTop="1" x14ac:dyDescent="0.25">
      <c r="A354" s="161" t="s">
        <v>135</v>
      </c>
      <c r="B354" s="162"/>
      <c r="C354" s="366"/>
      <c r="D354" s="163"/>
      <c r="E354" s="366"/>
      <c r="F354" s="162"/>
      <c r="G354" s="366"/>
      <c r="H354" s="162"/>
      <c r="I354" s="162"/>
      <c r="J354" s="366"/>
      <c r="K354" s="163"/>
      <c r="L354" s="366"/>
      <c r="M354" s="162"/>
      <c r="N354" s="366"/>
      <c r="O354" s="162"/>
      <c r="P354" s="366"/>
      <c r="Q354" s="162"/>
      <c r="R354" s="366"/>
      <c r="S354" s="162"/>
      <c r="T354" s="366"/>
      <c r="U354" s="162"/>
      <c r="V354" s="366"/>
      <c r="W354" s="164"/>
      <c r="X354" s="164"/>
      <c r="Y354" s="165"/>
      <c r="Z354" s="165"/>
      <c r="AA354" s="166"/>
    </row>
    <row r="355" spans="1:29" ht="14.2" customHeight="1" x14ac:dyDescent="0.25">
      <c r="A355" s="231" t="s">
        <v>680</v>
      </c>
      <c r="B355" s="241"/>
      <c r="C355" s="375"/>
      <c r="D355" s="242"/>
      <c r="E355" s="393"/>
      <c r="F355" s="260"/>
      <c r="G355" s="393"/>
      <c r="H355" s="240"/>
      <c r="I355" s="241"/>
      <c r="J355" s="375"/>
      <c r="K355" s="242"/>
      <c r="L355" s="422"/>
      <c r="M355" s="261"/>
      <c r="N355" s="393"/>
      <c r="O355" s="262"/>
      <c r="P355" s="437"/>
      <c r="Q355" s="262"/>
      <c r="R355" s="437"/>
      <c r="S355" s="262"/>
      <c r="T355" s="437"/>
      <c r="U355" s="262"/>
      <c r="V355" s="437"/>
      <c r="W355" s="263"/>
      <c r="X355" s="263"/>
      <c r="Y355" s="264"/>
      <c r="Z355" s="264"/>
      <c r="AA355" s="442"/>
    </row>
    <row r="356" spans="1:29" ht="14.2" customHeight="1" x14ac:dyDescent="0.25">
      <c r="A356" s="231" t="s">
        <v>681</v>
      </c>
      <c r="B356" s="232"/>
      <c r="C356" s="373"/>
      <c r="D356" s="233"/>
      <c r="E356" s="392"/>
      <c r="F356" s="265"/>
      <c r="G356" s="392"/>
      <c r="H356" s="235"/>
      <c r="I356" s="232"/>
      <c r="J356" s="373"/>
      <c r="K356" s="233"/>
      <c r="L356" s="418"/>
      <c r="M356" s="266"/>
      <c r="N356" s="418"/>
      <c r="O356" s="267"/>
      <c r="P356" s="438"/>
      <c r="Q356" s="267"/>
      <c r="R356" s="438"/>
      <c r="S356" s="267"/>
      <c r="T356" s="438"/>
      <c r="U356" s="267"/>
      <c r="V356" s="438"/>
      <c r="W356" s="268"/>
      <c r="X356" s="268"/>
      <c r="Y356" s="269"/>
      <c r="Z356" s="269"/>
      <c r="AA356" s="442"/>
    </row>
    <row r="357" spans="1:29" ht="14.2" customHeight="1" x14ac:dyDescent="0.25">
      <c r="A357" s="231" t="s">
        <v>639</v>
      </c>
      <c r="B357" s="232"/>
      <c r="C357" s="373"/>
      <c r="D357" s="233"/>
      <c r="E357" s="392"/>
      <c r="F357" s="234"/>
      <c r="G357" s="392"/>
      <c r="H357" s="235"/>
      <c r="I357" s="232"/>
      <c r="J357" s="373"/>
      <c r="K357" s="207"/>
      <c r="L357" s="392"/>
      <c r="M357" s="236"/>
      <c r="N357" s="418"/>
      <c r="O357" s="267"/>
      <c r="P357" s="438"/>
      <c r="Q357" s="267"/>
      <c r="R357" s="438"/>
      <c r="S357" s="267"/>
      <c r="T357" s="438"/>
      <c r="U357" s="267"/>
      <c r="V357" s="438"/>
      <c r="W357" s="268"/>
      <c r="X357" s="268"/>
      <c r="Y357" s="269"/>
      <c r="Z357" s="269"/>
      <c r="AA357" s="150"/>
    </row>
    <row r="358" spans="1:29" ht="14.2" customHeight="1" x14ac:dyDescent="0.25">
      <c r="A358" s="231" t="s">
        <v>640</v>
      </c>
      <c r="B358" s="232"/>
      <c r="C358" s="373"/>
      <c r="D358" s="233"/>
      <c r="E358" s="392"/>
      <c r="F358" s="234"/>
      <c r="G358" s="392"/>
      <c r="H358" s="235"/>
      <c r="I358" s="232"/>
      <c r="J358" s="373"/>
      <c r="K358" s="207"/>
      <c r="L358" s="418"/>
      <c r="M358" s="236"/>
      <c r="N358" s="418"/>
      <c r="O358" s="267"/>
      <c r="P358" s="438"/>
      <c r="Q358" s="267"/>
      <c r="R358" s="438"/>
      <c r="S358" s="267"/>
      <c r="T358" s="438"/>
      <c r="U358" s="267"/>
      <c r="V358" s="438"/>
      <c r="W358" s="268"/>
      <c r="X358" s="268"/>
      <c r="Y358" s="269"/>
      <c r="Z358" s="269"/>
      <c r="AA358" s="150"/>
    </row>
    <row r="359" spans="1:29" ht="14.2" customHeight="1" x14ac:dyDescent="0.25">
      <c r="A359" s="231" t="s">
        <v>641</v>
      </c>
      <c r="B359" s="232"/>
      <c r="C359" s="373"/>
      <c r="D359" s="233"/>
      <c r="E359" s="392"/>
      <c r="F359" s="237"/>
      <c r="G359" s="392"/>
      <c r="H359" s="235"/>
      <c r="I359" s="232"/>
      <c r="J359" s="373"/>
      <c r="K359" s="207"/>
      <c r="L359" s="392"/>
      <c r="M359" s="236"/>
      <c r="N359" s="418"/>
      <c r="O359" s="267"/>
      <c r="P359" s="438"/>
      <c r="Q359" s="267"/>
      <c r="R359" s="438"/>
      <c r="S359" s="267"/>
      <c r="T359" s="438"/>
      <c r="U359" s="267"/>
      <c r="V359" s="438"/>
      <c r="W359" s="268"/>
      <c r="X359" s="268"/>
      <c r="Y359" s="269"/>
      <c r="Z359" s="269"/>
      <c r="AA359" s="150"/>
    </row>
    <row r="360" spans="1:29" ht="14.2" customHeight="1" x14ac:dyDescent="0.25">
      <c r="A360" s="231" t="s">
        <v>642</v>
      </c>
      <c r="B360" s="232"/>
      <c r="C360" s="373"/>
      <c r="D360" s="233"/>
      <c r="E360" s="392"/>
      <c r="F360" s="237"/>
      <c r="G360" s="392"/>
      <c r="H360" s="235"/>
      <c r="I360" s="232"/>
      <c r="J360" s="373"/>
      <c r="K360" s="207"/>
      <c r="L360" s="392"/>
      <c r="M360" s="236"/>
      <c r="N360" s="418"/>
      <c r="O360" s="267"/>
      <c r="P360" s="438"/>
      <c r="Q360" s="267"/>
      <c r="R360" s="438"/>
      <c r="S360" s="267"/>
      <c r="T360" s="438"/>
      <c r="U360" s="267"/>
      <c r="V360" s="438"/>
      <c r="W360" s="268"/>
      <c r="X360" s="268"/>
      <c r="Y360" s="269"/>
      <c r="Z360" s="269"/>
      <c r="AA360" s="196"/>
    </row>
    <row r="361" spans="1:29" ht="14.2" customHeight="1" x14ac:dyDescent="0.25">
      <c r="A361" s="231" t="s">
        <v>447</v>
      </c>
      <c r="B361" s="232"/>
      <c r="C361" s="373"/>
      <c r="D361" s="233"/>
      <c r="E361" s="392"/>
      <c r="F361" s="237"/>
      <c r="G361" s="392"/>
      <c r="H361" s="235"/>
      <c r="I361" s="232"/>
      <c r="J361" s="373"/>
      <c r="K361" s="207"/>
      <c r="L361" s="392"/>
      <c r="M361" s="236"/>
      <c r="N361" s="418"/>
      <c r="O361" s="267"/>
      <c r="P361" s="438"/>
      <c r="Q361" s="267"/>
      <c r="R361" s="438"/>
      <c r="S361" s="267"/>
      <c r="T361" s="438"/>
      <c r="U361" s="267"/>
      <c r="V361" s="438"/>
      <c r="W361" s="268"/>
      <c r="X361" s="268"/>
      <c r="Y361" s="269"/>
      <c r="Z361" s="269"/>
      <c r="AA361" s="196"/>
    </row>
    <row r="362" spans="1:29" ht="14.2" customHeight="1" x14ac:dyDescent="0.25">
      <c r="A362" s="231" t="s">
        <v>448</v>
      </c>
      <c r="B362" s="232"/>
      <c r="C362" s="373"/>
      <c r="D362" s="233"/>
      <c r="E362" s="407"/>
      <c r="F362" s="270"/>
      <c r="G362" s="392"/>
      <c r="H362" s="235"/>
      <c r="I362" s="271"/>
      <c r="J362" s="373"/>
      <c r="K362" s="207"/>
      <c r="L362" s="392"/>
      <c r="M362" s="272"/>
      <c r="N362" s="418"/>
      <c r="O362" s="267"/>
      <c r="P362" s="438"/>
      <c r="Q362" s="267"/>
      <c r="R362" s="438"/>
      <c r="S362" s="267"/>
      <c r="T362" s="438"/>
      <c r="U362" s="267"/>
      <c r="V362" s="438"/>
      <c r="W362" s="268"/>
      <c r="X362" s="268"/>
      <c r="Y362" s="269"/>
      <c r="Z362" s="269"/>
      <c r="AA362" s="196"/>
    </row>
    <row r="363" spans="1:29" ht="14.2" customHeight="1" x14ac:dyDescent="0.25">
      <c r="A363" s="231" t="s">
        <v>449</v>
      </c>
      <c r="B363" s="232"/>
      <c r="C363" s="373"/>
      <c r="D363" s="233"/>
      <c r="E363" s="392"/>
      <c r="F363" s="237"/>
      <c r="G363" s="392"/>
      <c r="H363" s="235"/>
      <c r="I363" s="232"/>
      <c r="J363" s="373"/>
      <c r="K363" s="207"/>
      <c r="L363" s="392"/>
      <c r="M363" s="236"/>
      <c r="N363" s="418"/>
      <c r="O363" s="267"/>
      <c r="P363" s="438"/>
      <c r="Q363" s="267"/>
      <c r="R363" s="438"/>
      <c r="S363" s="267"/>
      <c r="T363" s="438"/>
      <c r="U363" s="267"/>
      <c r="V363" s="438"/>
      <c r="W363" s="268"/>
      <c r="X363" s="268"/>
      <c r="Y363" s="269"/>
      <c r="Z363" s="269"/>
      <c r="AA363" s="196"/>
    </row>
    <row r="364" spans="1:29" ht="14.2" customHeight="1" x14ac:dyDescent="0.25">
      <c r="A364" s="231" t="s">
        <v>450</v>
      </c>
      <c r="B364" s="232"/>
      <c r="C364" s="373"/>
      <c r="D364" s="233"/>
      <c r="E364" s="407"/>
      <c r="F364" s="237"/>
      <c r="G364" s="392"/>
      <c r="H364" s="235"/>
      <c r="I364" s="232"/>
      <c r="J364" s="373"/>
      <c r="K364" s="207"/>
      <c r="L364" s="392"/>
      <c r="M364" s="272"/>
      <c r="N364" s="418"/>
      <c r="O364" s="267"/>
      <c r="P364" s="438"/>
      <c r="Q364" s="267"/>
      <c r="R364" s="438"/>
      <c r="S364" s="267"/>
      <c r="T364" s="438"/>
      <c r="U364" s="267"/>
      <c r="V364" s="438"/>
      <c r="W364" s="268"/>
      <c r="X364" s="268"/>
      <c r="Y364" s="269"/>
      <c r="Z364" s="269"/>
      <c r="AA364" s="196"/>
    </row>
    <row r="365" spans="1:29" ht="14.2" customHeight="1" x14ac:dyDescent="0.25">
      <c r="A365" s="231" t="s">
        <v>451</v>
      </c>
      <c r="B365" s="232"/>
      <c r="C365" s="373"/>
      <c r="D365" s="233"/>
      <c r="E365" s="407"/>
      <c r="F365" s="270"/>
      <c r="G365" s="392"/>
      <c r="H365" s="235"/>
      <c r="I365" s="271"/>
      <c r="J365" s="373"/>
      <c r="K365" s="207"/>
      <c r="L365" s="392"/>
      <c r="M365" s="272"/>
      <c r="N365" s="418"/>
      <c r="O365" s="267"/>
      <c r="P365" s="438"/>
      <c r="Q365" s="267"/>
      <c r="R365" s="438"/>
      <c r="S365" s="267"/>
      <c r="T365" s="438"/>
      <c r="U365" s="267"/>
      <c r="V365" s="438"/>
      <c r="W365" s="268"/>
      <c r="X365" s="268"/>
      <c r="Y365" s="269"/>
      <c r="Z365" s="269"/>
      <c r="AA365" s="196"/>
    </row>
    <row r="366" spans="1:29" ht="14.2" customHeight="1" x14ac:dyDescent="0.25">
      <c r="A366" s="231" t="s">
        <v>452</v>
      </c>
      <c r="B366" s="232"/>
      <c r="C366" s="373"/>
      <c r="D366" s="233"/>
      <c r="E366" s="392"/>
      <c r="F366" s="237"/>
      <c r="G366" s="392"/>
      <c r="H366" s="235"/>
      <c r="I366" s="232"/>
      <c r="J366" s="373"/>
      <c r="K366" s="207"/>
      <c r="L366" s="392"/>
      <c r="M366" s="236"/>
      <c r="N366" s="418"/>
      <c r="O366" s="267"/>
      <c r="P366" s="438"/>
      <c r="Q366" s="267"/>
      <c r="R366" s="438"/>
      <c r="S366" s="267"/>
      <c r="T366" s="438"/>
      <c r="U366" s="267"/>
      <c r="V366" s="438"/>
      <c r="W366" s="268"/>
      <c r="X366" s="268"/>
      <c r="Y366" s="269"/>
      <c r="Z366" s="269"/>
      <c r="AA366" s="196"/>
    </row>
    <row r="367" spans="1:29" ht="14.2" customHeight="1" x14ac:dyDescent="0.25">
      <c r="A367" s="231" t="s">
        <v>453</v>
      </c>
      <c r="B367" s="232"/>
      <c r="C367" s="373"/>
      <c r="D367" s="233"/>
      <c r="E367" s="407"/>
      <c r="F367" s="237"/>
      <c r="G367" s="392"/>
      <c r="H367" s="235"/>
      <c r="I367" s="232"/>
      <c r="J367" s="373"/>
      <c r="K367" s="207"/>
      <c r="L367" s="392"/>
      <c r="M367" s="272"/>
      <c r="N367" s="418"/>
      <c r="O367" s="267"/>
      <c r="P367" s="438"/>
      <c r="Q367" s="267"/>
      <c r="R367" s="438"/>
      <c r="S367" s="267"/>
      <c r="T367" s="438"/>
      <c r="U367" s="267"/>
      <c r="V367" s="438"/>
      <c r="W367" s="268"/>
      <c r="X367" s="268"/>
      <c r="Y367" s="269"/>
      <c r="Z367" s="269"/>
      <c r="AA367" s="196"/>
    </row>
    <row r="368" spans="1:29" ht="14.2" customHeight="1" x14ac:dyDescent="0.25">
      <c r="A368" s="231" t="s">
        <v>454</v>
      </c>
      <c r="B368" s="232"/>
      <c r="C368" s="373"/>
      <c r="D368" s="233"/>
      <c r="E368" s="407"/>
      <c r="F368" s="270"/>
      <c r="G368" s="392"/>
      <c r="H368" s="235"/>
      <c r="I368" s="271"/>
      <c r="J368" s="373"/>
      <c r="K368" s="207"/>
      <c r="L368" s="392"/>
      <c r="M368" s="272"/>
      <c r="N368" s="418"/>
      <c r="O368" s="267"/>
      <c r="P368" s="438"/>
      <c r="Q368" s="267"/>
      <c r="R368" s="438"/>
      <c r="S368" s="267"/>
      <c r="T368" s="438"/>
      <c r="U368" s="267"/>
      <c r="V368" s="438"/>
      <c r="W368" s="268"/>
      <c r="X368" s="268"/>
      <c r="Y368" s="269"/>
      <c r="Z368" s="269"/>
      <c r="AA368" s="196"/>
    </row>
    <row r="369" spans="1:27" ht="14.2" customHeight="1" x14ac:dyDescent="0.25">
      <c r="A369" s="231" t="s">
        <v>455</v>
      </c>
      <c r="B369" s="232"/>
      <c r="C369" s="373"/>
      <c r="D369" s="233"/>
      <c r="E369" s="392"/>
      <c r="F369" s="237"/>
      <c r="G369" s="392"/>
      <c r="H369" s="235"/>
      <c r="I369" s="232"/>
      <c r="J369" s="373"/>
      <c r="K369" s="207"/>
      <c r="L369" s="392"/>
      <c r="M369" s="236"/>
      <c r="N369" s="418"/>
      <c r="O369" s="267"/>
      <c r="P369" s="438"/>
      <c r="Q369" s="267"/>
      <c r="R369" s="438"/>
      <c r="S369" s="267"/>
      <c r="T369" s="438"/>
      <c r="U369" s="267"/>
      <c r="V369" s="438"/>
      <c r="W369" s="268"/>
      <c r="X369" s="268"/>
      <c r="Y369" s="269"/>
      <c r="Z369" s="269"/>
      <c r="AA369" s="196"/>
    </row>
    <row r="370" spans="1:27" ht="14.2" customHeight="1" x14ac:dyDescent="0.25">
      <c r="A370" s="231" t="s">
        <v>456</v>
      </c>
      <c r="B370" s="232"/>
      <c r="C370" s="373"/>
      <c r="D370" s="233"/>
      <c r="E370" s="407"/>
      <c r="F370" s="237"/>
      <c r="G370" s="392"/>
      <c r="H370" s="235"/>
      <c r="I370" s="232"/>
      <c r="J370" s="373"/>
      <c r="K370" s="207"/>
      <c r="L370" s="392"/>
      <c r="M370" s="272"/>
      <c r="N370" s="418"/>
      <c r="O370" s="267"/>
      <c r="P370" s="438"/>
      <c r="Q370" s="267"/>
      <c r="R370" s="438"/>
      <c r="S370" s="267"/>
      <c r="T370" s="438"/>
      <c r="U370" s="267"/>
      <c r="V370" s="438"/>
      <c r="W370" s="268"/>
      <c r="X370" s="268"/>
      <c r="Y370" s="269"/>
      <c r="Z370" s="269"/>
      <c r="AA370" s="196"/>
    </row>
    <row r="371" spans="1:27" ht="14.2" customHeight="1" x14ac:dyDescent="0.25">
      <c r="A371" s="231" t="s">
        <v>457</v>
      </c>
      <c r="B371" s="232"/>
      <c r="C371" s="373"/>
      <c r="D371" s="233"/>
      <c r="E371" s="407"/>
      <c r="F371" s="270"/>
      <c r="G371" s="392"/>
      <c r="H371" s="235"/>
      <c r="I371" s="271"/>
      <c r="J371" s="373"/>
      <c r="K371" s="207"/>
      <c r="L371" s="392"/>
      <c r="M371" s="272"/>
      <c r="N371" s="418"/>
      <c r="O371" s="267"/>
      <c r="P371" s="438"/>
      <c r="Q371" s="267"/>
      <c r="R371" s="438"/>
      <c r="S371" s="267"/>
      <c r="T371" s="438"/>
      <c r="U371" s="267"/>
      <c r="V371" s="438"/>
      <c r="W371" s="268"/>
      <c r="X371" s="268"/>
      <c r="Y371" s="269"/>
      <c r="Z371" s="269"/>
      <c r="AA371" s="196"/>
    </row>
    <row r="372" spans="1:27" ht="14.2" customHeight="1" x14ac:dyDescent="0.25">
      <c r="A372" s="231" t="s">
        <v>458</v>
      </c>
      <c r="B372" s="232"/>
      <c r="C372" s="373"/>
      <c r="D372" s="233"/>
      <c r="E372" s="392"/>
      <c r="F372" s="237"/>
      <c r="G372" s="392"/>
      <c r="H372" s="235"/>
      <c r="I372" s="232"/>
      <c r="J372" s="373"/>
      <c r="K372" s="207"/>
      <c r="L372" s="392"/>
      <c r="M372" s="236"/>
      <c r="N372" s="418"/>
      <c r="O372" s="267"/>
      <c r="P372" s="438"/>
      <c r="Q372" s="267"/>
      <c r="R372" s="438"/>
      <c r="S372" s="267"/>
      <c r="T372" s="438"/>
      <c r="U372" s="267"/>
      <c r="V372" s="438"/>
      <c r="W372" s="268"/>
      <c r="X372" s="268"/>
      <c r="Y372" s="269"/>
      <c r="Z372" s="269"/>
      <c r="AA372" s="196"/>
    </row>
    <row r="373" spans="1:27" ht="14.2" customHeight="1" x14ac:dyDescent="0.25">
      <c r="A373" s="231" t="s">
        <v>459</v>
      </c>
      <c r="B373" s="232"/>
      <c r="C373" s="373"/>
      <c r="D373" s="233"/>
      <c r="E373" s="407"/>
      <c r="F373" s="237"/>
      <c r="G373" s="392"/>
      <c r="H373" s="235"/>
      <c r="I373" s="232"/>
      <c r="J373" s="373"/>
      <c r="K373" s="207"/>
      <c r="L373" s="392"/>
      <c r="M373" s="272"/>
      <c r="N373" s="418"/>
      <c r="O373" s="267"/>
      <c r="P373" s="438"/>
      <c r="Q373" s="267"/>
      <c r="R373" s="438"/>
      <c r="S373" s="267"/>
      <c r="T373" s="438"/>
      <c r="U373" s="267"/>
      <c r="V373" s="438"/>
      <c r="W373" s="268"/>
      <c r="X373" s="268"/>
      <c r="Y373" s="269"/>
      <c r="Z373" s="269"/>
      <c r="AA373" s="196"/>
    </row>
    <row r="374" spans="1:27" ht="14.2" customHeight="1" x14ac:dyDescent="0.25">
      <c r="A374" s="231" t="s">
        <v>460</v>
      </c>
      <c r="B374" s="232"/>
      <c r="C374" s="373"/>
      <c r="D374" s="233"/>
      <c r="E374" s="407"/>
      <c r="F374" s="270"/>
      <c r="G374" s="392"/>
      <c r="H374" s="235"/>
      <c r="I374" s="271"/>
      <c r="J374" s="373"/>
      <c r="K374" s="207"/>
      <c r="L374" s="392"/>
      <c r="M374" s="272"/>
      <c r="N374" s="418"/>
      <c r="O374" s="267"/>
      <c r="P374" s="438"/>
      <c r="Q374" s="267"/>
      <c r="R374" s="438"/>
      <c r="S374" s="267"/>
      <c r="T374" s="438"/>
      <c r="U374" s="267"/>
      <c r="V374" s="438"/>
      <c r="W374" s="268"/>
      <c r="X374" s="268"/>
      <c r="Y374" s="269"/>
      <c r="Z374" s="269"/>
      <c r="AA374" s="196"/>
    </row>
    <row r="375" spans="1:27" ht="14.2" customHeight="1" x14ac:dyDescent="0.25">
      <c r="A375" s="231" t="s">
        <v>461</v>
      </c>
      <c r="B375" s="232"/>
      <c r="C375" s="373"/>
      <c r="D375" s="233"/>
      <c r="E375" s="392"/>
      <c r="F375" s="237"/>
      <c r="G375" s="392"/>
      <c r="H375" s="235"/>
      <c r="I375" s="232"/>
      <c r="J375" s="373"/>
      <c r="K375" s="207"/>
      <c r="L375" s="392"/>
      <c r="M375" s="236"/>
      <c r="N375" s="418"/>
      <c r="O375" s="267"/>
      <c r="P375" s="438"/>
      <c r="Q375" s="267"/>
      <c r="R375" s="438"/>
      <c r="S375" s="267"/>
      <c r="T375" s="438"/>
      <c r="U375" s="267"/>
      <c r="V375" s="438"/>
      <c r="W375" s="268"/>
      <c r="X375" s="268"/>
      <c r="Y375" s="269"/>
      <c r="Z375" s="269"/>
      <c r="AA375" s="196"/>
    </row>
    <row r="376" spans="1:27" ht="14.2" customHeight="1" x14ac:dyDescent="0.25">
      <c r="A376" s="231" t="s">
        <v>462</v>
      </c>
      <c r="B376" s="232"/>
      <c r="C376" s="373"/>
      <c r="D376" s="233"/>
      <c r="E376" s="407"/>
      <c r="F376" s="237"/>
      <c r="G376" s="392"/>
      <c r="H376" s="235"/>
      <c r="I376" s="232"/>
      <c r="J376" s="373"/>
      <c r="K376" s="207"/>
      <c r="L376" s="392"/>
      <c r="M376" s="272"/>
      <c r="N376" s="418"/>
      <c r="O376" s="267"/>
      <c r="P376" s="438"/>
      <c r="Q376" s="267"/>
      <c r="R376" s="438"/>
      <c r="S376" s="267"/>
      <c r="T376" s="438"/>
      <c r="U376" s="267"/>
      <c r="V376" s="438"/>
      <c r="W376" s="268"/>
      <c r="X376" s="268"/>
      <c r="Y376" s="269"/>
      <c r="Z376" s="269"/>
      <c r="AA376" s="196"/>
    </row>
    <row r="377" spans="1:27" ht="14.2" customHeight="1" x14ac:dyDescent="0.25">
      <c r="A377" s="231" t="s">
        <v>463</v>
      </c>
      <c r="B377" s="232"/>
      <c r="C377" s="373"/>
      <c r="D377" s="233"/>
      <c r="E377" s="407"/>
      <c r="F377" s="270"/>
      <c r="G377" s="392"/>
      <c r="H377" s="235"/>
      <c r="I377" s="271"/>
      <c r="J377" s="373"/>
      <c r="K377" s="207"/>
      <c r="L377" s="392"/>
      <c r="M377" s="272"/>
      <c r="N377" s="418"/>
      <c r="O377" s="267"/>
      <c r="P377" s="438"/>
      <c r="Q377" s="267"/>
      <c r="R377" s="438"/>
      <c r="S377" s="267"/>
      <c r="T377" s="438"/>
      <c r="U377" s="267"/>
      <c r="V377" s="438"/>
      <c r="W377" s="268"/>
      <c r="X377" s="268"/>
      <c r="Y377" s="269"/>
      <c r="Z377" s="269"/>
      <c r="AA377" s="196"/>
    </row>
    <row r="378" spans="1:27" ht="14.2" customHeight="1" x14ac:dyDescent="0.25">
      <c r="A378" s="231" t="s">
        <v>464</v>
      </c>
      <c r="B378" s="232"/>
      <c r="C378" s="373"/>
      <c r="D378" s="233"/>
      <c r="E378" s="407"/>
      <c r="F378" s="270"/>
      <c r="G378" s="392"/>
      <c r="H378" s="235"/>
      <c r="I378" s="271"/>
      <c r="J378" s="373"/>
      <c r="K378" s="207"/>
      <c r="L378" s="392"/>
      <c r="M378" s="272"/>
      <c r="N378" s="418"/>
      <c r="O378" s="267"/>
      <c r="P378" s="438"/>
      <c r="Q378" s="267"/>
      <c r="R378" s="438"/>
      <c r="S378" s="267"/>
      <c r="T378" s="438"/>
      <c r="U378" s="267"/>
      <c r="V378" s="438"/>
      <c r="W378" s="268"/>
      <c r="X378" s="268"/>
      <c r="Y378" s="269"/>
      <c r="Z378" s="269"/>
      <c r="AA378" s="196"/>
    </row>
    <row r="379" spans="1:27" ht="14.2" customHeight="1" x14ac:dyDescent="0.25">
      <c r="A379" s="231" t="s">
        <v>465</v>
      </c>
      <c r="B379" s="232"/>
      <c r="C379" s="373"/>
      <c r="D379" s="233"/>
      <c r="E379" s="392"/>
      <c r="F379" s="237"/>
      <c r="G379" s="392"/>
      <c r="H379" s="235"/>
      <c r="I379" s="232"/>
      <c r="J379" s="373"/>
      <c r="K379" s="207"/>
      <c r="L379" s="392"/>
      <c r="M379" s="236"/>
      <c r="N379" s="418"/>
      <c r="O379" s="267"/>
      <c r="P379" s="438"/>
      <c r="Q379" s="267"/>
      <c r="R379" s="438"/>
      <c r="S379" s="267"/>
      <c r="T379" s="438"/>
      <c r="U379" s="267"/>
      <c r="V379" s="438"/>
      <c r="W379" s="268"/>
      <c r="X379" s="268"/>
      <c r="Y379" s="269"/>
      <c r="Z379" s="269"/>
      <c r="AA379" s="196"/>
    </row>
    <row r="380" spans="1:27" ht="14.2" customHeight="1" x14ac:dyDescent="0.25">
      <c r="A380" s="231" t="s">
        <v>466</v>
      </c>
      <c r="B380" s="232"/>
      <c r="C380" s="373"/>
      <c r="D380" s="233"/>
      <c r="E380" s="407"/>
      <c r="F380" s="237"/>
      <c r="G380" s="392"/>
      <c r="H380" s="235"/>
      <c r="I380" s="232"/>
      <c r="J380" s="373"/>
      <c r="K380" s="207"/>
      <c r="L380" s="392"/>
      <c r="M380" s="272"/>
      <c r="N380" s="418"/>
      <c r="O380" s="267"/>
      <c r="P380" s="438"/>
      <c r="Q380" s="267"/>
      <c r="R380" s="438"/>
      <c r="S380" s="267"/>
      <c r="T380" s="438"/>
      <c r="U380" s="267"/>
      <c r="V380" s="438"/>
      <c r="W380" s="268"/>
      <c r="X380" s="268"/>
      <c r="Y380" s="269"/>
      <c r="Z380" s="269"/>
      <c r="AA380" s="196"/>
    </row>
    <row r="381" spans="1:27" ht="14.2" customHeight="1" x14ac:dyDescent="0.25">
      <c r="A381" s="231" t="s">
        <v>467</v>
      </c>
      <c r="B381" s="232"/>
      <c r="C381" s="373"/>
      <c r="D381" s="233"/>
      <c r="E381" s="407"/>
      <c r="F381" s="270"/>
      <c r="G381" s="392"/>
      <c r="H381" s="235"/>
      <c r="I381" s="271"/>
      <c r="J381" s="373"/>
      <c r="K381" s="207"/>
      <c r="L381" s="392"/>
      <c r="M381" s="272"/>
      <c r="N381" s="418"/>
      <c r="O381" s="267"/>
      <c r="P381" s="438"/>
      <c r="Q381" s="267"/>
      <c r="R381" s="438"/>
      <c r="S381" s="267"/>
      <c r="T381" s="438"/>
      <c r="U381" s="267"/>
      <c r="V381" s="438"/>
      <c r="W381" s="268"/>
      <c r="X381" s="268"/>
      <c r="Y381" s="269"/>
      <c r="Z381" s="269"/>
      <c r="AA381" s="196"/>
    </row>
    <row r="382" spans="1:27" ht="14.2" customHeight="1" x14ac:dyDescent="0.25">
      <c r="A382" s="231" t="s">
        <v>468</v>
      </c>
      <c r="B382" s="232"/>
      <c r="C382" s="373"/>
      <c r="D382" s="233"/>
      <c r="E382" s="407"/>
      <c r="F382" s="270"/>
      <c r="G382" s="392"/>
      <c r="H382" s="235"/>
      <c r="I382" s="271"/>
      <c r="J382" s="373"/>
      <c r="K382" s="207"/>
      <c r="L382" s="392"/>
      <c r="M382" s="272"/>
      <c r="N382" s="418"/>
      <c r="O382" s="267"/>
      <c r="P382" s="438"/>
      <c r="Q382" s="267"/>
      <c r="R382" s="438"/>
      <c r="S382" s="267"/>
      <c r="T382" s="438"/>
      <c r="U382" s="267"/>
      <c r="V382" s="438"/>
      <c r="W382" s="268"/>
      <c r="X382" s="268"/>
      <c r="Y382" s="269"/>
      <c r="Z382" s="269"/>
      <c r="AA382" s="196"/>
    </row>
    <row r="383" spans="1:27" ht="14.2" customHeight="1" x14ac:dyDescent="0.25">
      <c r="A383" s="231" t="s">
        <v>469</v>
      </c>
      <c r="B383" s="232"/>
      <c r="C383" s="373"/>
      <c r="D383" s="233"/>
      <c r="E383" s="392"/>
      <c r="F383" s="237"/>
      <c r="G383" s="392"/>
      <c r="H383" s="235"/>
      <c r="I383" s="232"/>
      <c r="J383" s="373"/>
      <c r="K383" s="207"/>
      <c r="L383" s="392"/>
      <c r="M383" s="236"/>
      <c r="N383" s="418"/>
      <c r="O383" s="267"/>
      <c r="P383" s="438"/>
      <c r="Q383" s="267"/>
      <c r="R383" s="438"/>
      <c r="S383" s="267"/>
      <c r="T383" s="438"/>
      <c r="U383" s="267"/>
      <c r="V383" s="438"/>
      <c r="W383" s="268"/>
      <c r="X383" s="268"/>
      <c r="Y383" s="269"/>
      <c r="Z383" s="269"/>
      <c r="AA383" s="196"/>
    </row>
    <row r="384" spans="1:27" ht="14.2" customHeight="1" thickBot="1" x14ac:dyDescent="0.3">
      <c r="A384" s="231" t="s">
        <v>470</v>
      </c>
      <c r="B384" s="232"/>
      <c r="C384" s="373"/>
      <c r="D384" s="233"/>
      <c r="E384" s="407"/>
      <c r="F384" s="237"/>
      <c r="G384" s="392"/>
      <c r="H384" s="235"/>
      <c r="I384" s="232"/>
      <c r="J384" s="373"/>
      <c r="K384" s="207"/>
      <c r="L384" s="392"/>
      <c r="M384" s="272"/>
      <c r="N384" s="418"/>
      <c r="O384" s="267"/>
      <c r="P384" s="438"/>
      <c r="Q384" s="267"/>
      <c r="R384" s="438"/>
      <c r="S384" s="267"/>
      <c r="T384" s="438"/>
      <c r="U384" s="267"/>
      <c r="V384" s="438"/>
      <c r="W384" s="268"/>
      <c r="X384" s="268"/>
      <c r="Y384" s="269"/>
      <c r="Z384" s="269"/>
      <c r="AA384" s="196"/>
    </row>
    <row r="385" spans="1:29" ht="21" customHeight="1" thickTop="1" x14ac:dyDescent="0.25">
      <c r="A385" s="122" t="s">
        <v>134</v>
      </c>
      <c r="B385" s="123"/>
      <c r="C385" s="363"/>
      <c r="D385" s="124"/>
      <c r="E385" s="363"/>
      <c r="F385" s="123"/>
      <c r="G385" s="363"/>
      <c r="H385" s="123"/>
      <c r="I385" s="123"/>
      <c r="J385" s="363"/>
      <c r="K385" s="124"/>
      <c r="L385" s="363"/>
      <c r="M385" s="123"/>
      <c r="N385" s="363"/>
      <c r="O385" s="123"/>
      <c r="P385" s="363"/>
      <c r="Q385" s="123"/>
      <c r="R385" s="363"/>
      <c r="S385" s="123"/>
      <c r="T385" s="363"/>
      <c r="U385" s="123"/>
      <c r="V385" s="363"/>
      <c r="W385" s="125"/>
      <c r="X385" s="125"/>
      <c r="Y385" s="126"/>
      <c r="Z385" s="126"/>
      <c r="AA385" s="127"/>
    </row>
    <row r="386" spans="1:29" ht="14.2" customHeight="1" x14ac:dyDescent="0.25">
      <c r="A386" s="177" t="s">
        <v>35</v>
      </c>
      <c r="B386" s="145"/>
      <c r="C386" s="364"/>
      <c r="D386" s="273"/>
      <c r="E386" s="408"/>
      <c r="F386" s="274"/>
      <c r="G386" s="394"/>
      <c r="H386" s="246"/>
      <c r="I386" s="245">
        <v>0.09</v>
      </c>
      <c r="J386" s="377">
        <v>10</v>
      </c>
      <c r="K386" s="169">
        <f t="shared" ref="K386:K396" si="295">M386*3600*1000/760*1.013*10^5*10^-12</f>
        <v>2.8790526315789467E-5</v>
      </c>
      <c r="L386" s="413">
        <v>90</v>
      </c>
      <c r="M386" s="275">
        <v>0.06</v>
      </c>
      <c r="N386" s="385">
        <v>31</v>
      </c>
      <c r="O386" s="276"/>
      <c r="P386" s="439"/>
      <c r="Q386" s="248"/>
      <c r="R386" s="439"/>
      <c r="S386" s="248"/>
      <c r="T386" s="439"/>
      <c r="U386" s="248"/>
      <c r="V386" s="439"/>
      <c r="W386" s="277"/>
      <c r="X386" s="277"/>
      <c r="Y386" s="138">
        <f t="shared" ref="Y386:Y396" si="296">K386/0.001*((2*10^-7*(20+273)^0.81/101325)*10^12)</f>
        <v>5.6588184387269793</v>
      </c>
      <c r="Z386" s="138">
        <f t="shared" ref="Z386:Z396" si="297">Y386*0.001</f>
        <v>5.6588184387269796E-3</v>
      </c>
      <c r="AA386" s="250"/>
      <c r="AB386" s="140" t="str">
        <f t="shared" ref="AB386:AB396" si="298">VLOOKUP(J386,$B$399:$C$431,2,FALSE)</f>
        <v>H28年建築物省エネルギー法</v>
      </c>
      <c r="AC386" s="140" t="str">
        <f t="shared" ref="AC386:AC396" si="299">VLOOKUP(N386,$B$399:$C$431,2,FALSE)</f>
        <v>「結露防止ガイドブック」IBEC</v>
      </c>
    </row>
    <row r="387" spans="1:29" ht="14.2" customHeight="1" x14ac:dyDescent="0.25">
      <c r="A387" s="167" t="s">
        <v>36</v>
      </c>
      <c r="B387" s="145"/>
      <c r="C387" s="364"/>
      <c r="D387" s="278"/>
      <c r="E387" s="409"/>
      <c r="F387" s="279"/>
      <c r="G387" s="395"/>
      <c r="H387" s="253"/>
      <c r="I387" s="251">
        <v>0.04</v>
      </c>
      <c r="J387" s="369">
        <v>10</v>
      </c>
      <c r="K387" s="157">
        <f t="shared" si="295"/>
        <v>9.596842105263157E-6</v>
      </c>
      <c r="L387" s="382">
        <v>90</v>
      </c>
      <c r="M387" s="280">
        <v>0.02</v>
      </c>
      <c r="N387" s="386">
        <v>31</v>
      </c>
      <c r="O387" s="179"/>
      <c r="P387" s="432"/>
      <c r="Q387" s="180"/>
      <c r="R387" s="432"/>
      <c r="S387" s="180"/>
      <c r="T387" s="432"/>
      <c r="U387" s="180"/>
      <c r="V387" s="432"/>
      <c r="W387" s="281"/>
      <c r="X387" s="281"/>
      <c r="Y387" s="138">
        <f t="shared" si="296"/>
        <v>1.8862728129089932</v>
      </c>
      <c r="Z387" s="138">
        <f t="shared" si="297"/>
        <v>1.8862728129089932E-3</v>
      </c>
      <c r="AA387" s="139"/>
      <c r="AB387" s="140" t="str">
        <f t="shared" si="298"/>
        <v>H28年建築物省エネルギー法</v>
      </c>
      <c r="AC387" s="140" t="str">
        <f t="shared" si="299"/>
        <v>「結露防止ガイドブック」IBEC</v>
      </c>
    </row>
    <row r="388" spans="1:29" ht="14.2" customHeight="1" x14ac:dyDescent="0.25">
      <c r="A388" s="167" t="s">
        <v>444</v>
      </c>
      <c r="B388" s="145"/>
      <c r="C388" s="364"/>
      <c r="D388" s="278"/>
      <c r="E388" s="409"/>
      <c r="F388" s="279"/>
      <c r="G388" s="395"/>
      <c r="H388" s="253"/>
      <c r="I388" s="251">
        <v>0.09</v>
      </c>
      <c r="J388" s="369">
        <v>10</v>
      </c>
      <c r="K388" s="157">
        <f t="shared" si="295"/>
        <v>2.8790526315789467E-5</v>
      </c>
      <c r="L388" s="382">
        <v>90</v>
      </c>
      <c r="M388" s="280">
        <v>0.06</v>
      </c>
      <c r="N388" s="386">
        <v>31</v>
      </c>
      <c r="O388" s="179"/>
      <c r="P388" s="432"/>
      <c r="Q388" s="180"/>
      <c r="R388" s="432"/>
      <c r="S388" s="180"/>
      <c r="T388" s="432"/>
      <c r="U388" s="180"/>
      <c r="V388" s="432"/>
      <c r="W388" s="281"/>
      <c r="X388" s="281"/>
      <c r="Y388" s="138">
        <f t="shared" si="296"/>
        <v>5.6588184387269793</v>
      </c>
      <c r="Z388" s="138">
        <f t="shared" si="297"/>
        <v>5.6588184387269796E-3</v>
      </c>
      <c r="AA388" s="139"/>
      <c r="AB388" s="140" t="str">
        <f t="shared" si="298"/>
        <v>H28年建築物省エネルギー法</v>
      </c>
      <c r="AC388" s="140" t="str">
        <f t="shared" si="299"/>
        <v>「結露防止ガイドブック」IBEC</v>
      </c>
    </row>
    <row r="389" spans="1:29" ht="14.2" customHeight="1" x14ac:dyDescent="0.25">
      <c r="A389" s="167" t="s">
        <v>37</v>
      </c>
      <c r="B389" s="145"/>
      <c r="C389" s="364"/>
      <c r="D389" s="278"/>
      <c r="E389" s="409"/>
      <c r="F389" s="279"/>
      <c r="G389" s="395"/>
      <c r="H389" s="253"/>
      <c r="I389" s="251">
        <v>0.09</v>
      </c>
      <c r="J389" s="369">
        <v>10</v>
      </c>
      <c r="K389" s="157">
        <f t="shared" si="295"/>
        <v>2.8790526315789467E-5</v>
      </c>
      <c r="L389" s="382">
        <v>90</v>
      </c>
      <c r="M389" s="280">
        <v>0.06</v>
      </c>
      <c r="N389" s="386">
        <v>31</v>
      </c>
      <c r="O389" s="179"/>
      <c r="P389" s="432"/>
      <c r="Q389" s="180"/>
      <c r="R389" s="432"/>
      <c r="S389" s="180"/>
      <c r="T389" s="432"/>
      <c r="U389" s="180"/>
      <c r="V389" s="432"/>
      <c r="W389" s="281"/>
      <c r="X389" s="281"/>
      <c r="Y389" s="138">
        <f t="shared" si="296"/>
        <v>5.6588184387269793</v>
      </c>
      <c r="Z389" s="138">
        <f t="shared" si="297"/>
        <v>5.6588184387269796E-3</v>
      </c>
      <c r="AA389" s="139"/>
      <c r="AB389" s="140" t="str">
        <f t="shared" si="298"/>
        <v>H28年建築物省エネルギー法</v>
      </c>
      <c r="AC389" s="140" t="str">
        <f t="shared" si="299"/>
        <v>「結露防止ガイドブック」IBEC</v>
      </c>
    </row>
    <row r="390" spans="1:29" ht="14.2" customHeight="1" x14ac:dyDescent="0.25">
      <c r="A390" s="167" t="s">
        <v>443</v>
      </c>
      <c r="B390" s="145"/>
      <c r="C390" s="364"/>
      <c r="D390" s="278"/>
      <c r="E390" s="409"/>
      <c r="F390" s="279"/>
      <c r="G390" s="395"/>
      <c r="H390" s="253"/>
      <c r="I390" s="251">
        <v>0.09</v>
      </c>
      <c r="J390" s="369">
        <v>10</v>
      </c>
      <c r="K390" s="157">
        <f t="shared" si="295"/>
        <v>2.8790526315789467E-5</v>
      </c>
      <c r="L390" s="382">
        <v>90</v>
      </c>
      <c r="M390" s="280">
        <v>0.06</v>
      </c>
      <c r="N390" s="386">
        <v>31</v>
      </c>
      <c r="O390" s="179"/>
      <c r="P390" s="432"/>
      <c r="Q390" s="180"/>
      <c r="R390" s="432"/>
      <c r="S390" s="180"/>
      <c r="T390" s="432"/>
      <c r="U390" s="180"/>
      <c r="V390" s="432"/>
      <c r="W390" s="281"/>
      <c r="X390" s="281"/>
      <c r="Y390" s="138">
        <f t="shared" si="296"/>
        <v>5.6588184387269793</v>
      </c>
      <c r="Z390" s="138">
        <f t="shared" si="297"/>
        <v>5.6588184387269796E-3</v>
      </c>
      <c r="AA390" s="139"/>
      <c r="AB390" s="140" t="str">
        <f t="shared" si="298"/>
        <v>H28年建築物省エネルギー法</v>
      </c>
      <c r="AC390" s="140" t="str">
        <f t="shared" si="299"/>
        <v>「結露防止ガイドブック」IBEC</v>
      </c>
    </row>
    <row r="391" spans="1:29" ht="14.2" customHeight="1" x14ac:dyDescent="0.25">
      <c r="A391" s="167" t="s">
        <v>251</v>
      </c>
      <c r="B391" s="145"/>
      <c r="C391" s="364"/>
      <c r="D391" s="278"/>
      <c r="E391" s="409"/>
      <c r="F391" s="279"/>
      <c r="G391" s="395"/>
      <c r="H391" s="253"/>
      <c r="I391" s="251">
        <v>0.11</v>
      </c>
      <c r="J391" s="369">
        <v>10</v>
      </c>
      <c r="K391" s="157">
        <f t="shared" si="295"/>
        <v>2.8790526315789467E-5</v>
      </c>
      <c r="L391" s="382">
        <v>90</v>
      </c>
      <c r="M391" s="280">
        <v>0.06</v>
      </c>
      <c r="N391" s="386">
        <v>31</v>
      </c>
      <c r="O391" s="179"/>
      <c r="P391" s="432"/>
      <c r="Q391" s="180"/>
      <c r="R391" s="432"/>
      <c r="S391" s="180"/>
      <c r="T391" s="432"/>
      <c r="U391" s="180"/>
      <c r="V391" s="432"/>
      <c r="W391" s="281"/>
      <c r="X391" s="281"/>
      <c r="Y391" s="138">
        <f t="shared" si="296"/>
        <v>5.6588184387269793</v>
      </c>
      <c r="Z391" s="138">
        <f t="shared" si="297"/>
        <v>5.6588184387269796E-3</v>
      </c>
      <c r="AA391" s="139"/>
      <c r="AB391" s="140" t="str">
        <f t="shared" si="298"/>
        <v>H28年建築物省エネルギー法</v>
      </c>
      <c r="AC391" s="140" t="str">
        <f t="shared" si="299"/>
        <v>「結露防止ガイドブック」IBEC</v>
      </c>
    </row>
    <row r="392" spans="1:29" ht="14.2" customHeight="1" x14ac:dyDescent="0.25">
      <c r="A392" s="167" t="s">
        <v>253</v>
      </c>
      <c r="B392" s="145"/>
      <c r="C392" s="364"/>
      <c r="D392" s="278"/>
      <c r="E392" s="409"/>
      <c r="F392" s="279"/>
      <c r="G392" s="395"/>
      <c r="H392" s="253"/>
      <c r="I392" s="251">
        <v>0.04</v>
      </c>
      <c r="J392" s="369">
        <v>10</v>
      </c>
      <c r="K392" s="157">
        <f t="shared" si="295"/>
        <v>9.596842105263157E-6</v>
      </c>
      <c r="L392" s="382">
        <v>90</v>
      </c>
      <c r="M392" s="280">
        <v>0.02</v>
      </c>
      <c r="N392" s="386">
        <v>31</v>
      </c>
      <c r="O392" s="179"/>
      <c r="P392" s="432"/>
      <c r="Q392" s="180"/>
      <c r="R392" s="432"/>
      <c r="S392" s="180"/>
      <c r="T392" s="432"/>
      <c r="U392" s="180"/>
      <c r="V392" s="432"/>
      <c r="W392" s="281"/>
      <c r="X392" s="281"/>
      <c r="Y392" s="138">
        <f t="shared" si="296"/>
        <v>1.8862728129089932</v>
      </c>
      <c r="Z392" s="138">
        <f t="shared" si="297"/>
        <v>1.8862728129089932E-3</v>
      </c>
      <c r="AA392" s="139"/>
      <c r="AB392" s="140" t="str">
        <f t="shared" si="298"/>
        <v>H28年建築物省エネルギー法</v>
      </c>
      <c r="AC392" s="140" t="str">
        <f t="shared" si="299"/>
        <v>「結露防止ガイドブック」IBEC</v>
      </c>
    </row>
    <row r="393" spans="1:29" ht="14.2" customHeight="1" x14ac:dyDescent="0.25">
      <c r="A393" s="167" t="s">
        <v>254</v>
      </c>
      <c r="B393" s="145"/>
      <c r="C393" s="364"/>
      <c r="D393" s="278"/>
      <c r="E393" s="409"/>
      <c r="F393" s="279"/>
      <c r="G393" s="395"/>
      <c r="H393" s="253"/>
      <c r="I393" s="251">
        <v>0.11</v>
      </c>
      <c r="J393" s="369">
        <v>10</v>
      </c>
      <c r="K393" s="157">
        <f t="shared" si="295"/>
        <v>2.8790526315789467E-5</v>
      </c>
      <c r="L393" s="382">
        <v>90</v>
      </c>
      <c r="M393" s="280">
        <v>0.06</v>
      </c>
      <c r="N393" s="386">
        <v>31</v>
      </c>
      <c r="O393" s="179"/>
      <c r="P393" s="432"/>
      <c r="Q393" s="180"/>
      <c r="R393" s="432"/>
      <c r="S393" s="180"/>
      <c r="T393" s="432"/>
      <c r="U393" s="180"/>
      <c r="V393" s="432"/>
      <c r="W393" s="281"/>
      <c r="X393" s="281"/>
      <c r="Y393" s="138">
        <f t="shared" si="296"/>
        <v>5.6588184387269793</v>
      </c>
      <c r="Z393" s="138">
        <f t="shared" si="297"/>
        <v>5.6588184387269796E-3</v>
      </c>
      <c r="AA393" s="139"/>
      <c r="AB393" s="140" t="str">
        <f t="shared" si="298"/>
        <v>H28年建築物省エネルギー法</v>
      </c>
      <c r="AC393" s="140" t="str">
        <f t="shared" si="299"/>
        <v>「結露防止ガイドブック」IBEC</v>
      </c>
    </row>
    <row r="394" spans="1:29" ht="14.2" customHeight="1" x14ac:dyDescent="0.25">
      <c r="A394" s="167" t="s">
        <v>255</v>
      </c>
      <c r="B394" s="145"/>
      <c r="C394" s="364"/>
      <c r="D394" s="278"/>
      <c r="E394" s="409"/>
      <c r="F394" s="279"/>
      <c r="G394" s="395"/>
      <c r="H394" s="253"/>
      <c r="I394" s="251">
        <v>0.15</v>
      </c>
      <c r="J394" s="369">
        <v>10</v>
      </c>
      <c r="K394" s="157">
        <f t="shared" si="295"/>
        <v>2.8790526315789467E-5</v>
      </c>
      <c r="L394" s="382">
        <v>90</v>
      </c>
      <c r="M394" s="280">
        <v>0.06</v>
      </c>
      <c r="N394" s="386">
        <v>31</v>
      </c>
      <c r="O394" s="179"/>
      <c r="P394" s="432"/>
      <c r="Q394" s="180"/>
      <c r="R394" s="432"/>
      <c r="S394" s="180"/>
      <c r="T394" s="432"/>
      <c r="U394" s="180"/>
      <c r="V394" s="432"/>
      <c r="W394" s="281"/>
      <c r="X394" s="281"/>
      <c r="Y394" s="138">
        <f t="shared" si="296"/>
        <v>5.6588184387269793</v>
      </c>
      <c r="Z394" s="138">
        <f t="shared" si="297"/>
        <v>5.6588184387269796E-3</v>
      </c>
      <c r="AA394" s="139"/>
      <c r="AB394" s="140" t="str">
        <f t="shared" si="298"/>
        <v>H28年建築物省エネルギー法</v>
      </c>
      <c r="AC394" s="140" t="str">
        <f t="shared" si="299"/>
        <v>「結露防止ガイドブック」IBEC</v>
      </c>
    </row>
    <row r="395" spans="1:29" ht="14.2" customHeight="1" x14ac:dyDescent="0.25">
      <c r="A395" s="167" t="s">
        <v>256</v>
      </c>
      <c r="B395" s="145"/>
      <c r="C395" s="364"/>
      <c r="D395" s="278"/>
      <c r="E395" s="409"/>
      <c r="F395" s="279"/>
      <c r="G395" s="395"/>
      <c r="H395" s="253"/>
      <c r="I395" s="251">
        <v>0.04</v>
      </c>
      <c r="J395" s="369">
        <v>10</v>
      </c>
      <c r="K395" s="157">
        <f t="shared" si="295"/>
        <v>9.596842105263157E-6</v>
      </c>
      <c r="L395" s="382">
        <v>90</v>
      </c>
      <c r="M395" s="280">
        <v>0.02</v>
      </c>
      <c r="N395" s="386">
        <v>31</v>
      </c>
      <c r="O395" s="179"/>
      <c r="P395" s="432"/>
      <c r="Q395" s="180"/>
      <c r="R395" s="432"/>
      <c r="S395" s="180"/>
      <c r="T395" s="432"/>
      <c r="U395" s="180"/>
      <c r="V395" s="432"/>
      <c r="W395" s="281"/>
      <c r="X395" s="281"/>
      <c r="Y395" s="138">
        <f t="shared" si="296"/>
        <v>1.8862728129089932</v>
      </c>
      <c r="Z395" s="138">
        <f t="shared" si="297"/>
        <v>1.8862728129089932E-3</v>
      </c>
      <c r="AA395" s="139"/>
      <c r="AB395" s="140" t="str">
        <f t="shared" si="298"/>
        <v>H28年建築物省エネルギー法</v>
      </c>
      <c r="AC395" s="140" t="str">
        <f t="shared" si="299"/>
        <v>「結露防止ガイドブック」IBEC</v>
      </c>
    </row>
    <row r="396" spans="1:29" ht="14.2" customHeight="1" thickBot="1" x14ac:dyDescent="0.3">
      <c r="A396" s="282" t="s">
        <v>442</v>
      </c>
      <c r="B396" s="283"/>
      <c r="C396" s="399"/>
      <c r="D396" s="284"/>
      <c r="E396" s="410"/>
      <c r="F396" s="285"/>
      <c r="G396" s="396"/>
      <c r="H396" s="286"/>
      <c r="I396" s="287">
        <v>0.15</v>
      </c>
      <c r="J396" s="378">
        <v>10</v>
      </c>
      <c r="K396" s="288">
        <f t="shared" si="295"/>
        <v>2.8790526315789467E-5</v>
      </c>
      <c r="L396" s="423">
        <v>90</v>
      </c>
      <c r="M396" s="289">
        <v>0.06</v>
      </c>
      <c r="N396" s="426">
        <v>31</v>
      </c>
      <c r="O396" s="290"/>
      <c r="P396" s="440"/>
      <c r="Q396" s="291"/>
      <c r="R396" s="440"/>
      <c r="S396" s="291"/>
      <c r="T396" s="440"/>
      <c r="U396" s="291"/>
      <c r="V396" s="440"/>
      <c r="W396" s="292"/>
      <c r="X396" s="292"/>
      <c r="Y396" s="138">
        <f t="shared" si="296"/>
        <v>5.6588184387269793</v>
      </c>
      <c r="Z396" s="138">
        <f t="shared" si="297"/>
        <v>5.6588184387269796E-3</v>
      </c>
      <c r="AA396" s="293"/>
      <c r="AB396" s="140" t="str">
        <f t="shared" si="298"/>
        <v>H28年建築物省エネルギー法</v>
      </c>
      <c r="AC396" s="140" t="str">
        <f t="shared" si="299"/>
        <v>「結露防止ガイドブック」IBEC</v>
      </c>
    </row>
    <row r="397" spans="1:29" ht="14.2" customHeight="1" x14ac:dyDescent="0.25">
      <c r="A397" s="294"/>
      <c r="B397" s="295"/>
      <c r="C397" s="400"/>
      <c r="D397" s="296"/>
      <c r="E397" s="379"/>
      <c r="F397" s="297"/>
      <c r="G397" s="379"/>
      <c r="H397" s="5"/>
      <c r="I397" s="298"/>
      <c r="J397" s="379"/>
      <c r="K397" s="299"/>
      <c r="L397" s="379"/>
      <c r="M397" s="298"/>
      <c r="N397" s="379"/>
      <c r="O397" s="298"/>
      <c r="P397" s="379"/>
      <c r="Q397" s="298"/>
      <c r="R397" s="379"/>
      <c r="S397" s="298"/>
      <c r="T397" s="379"/>
      <c r="U397" s="300"/>
      <c r="V397" s="441"/>
      <c r="W397" s="301"/>
      <c r="X397" s="301"/>
      <c r="Y397" s="301"/>
      <c r="Z397" s="301"/>
      <c r="AA397" s="297"/>
    </row>
    <row r="398" spans="1:29" ht="14.2" customHeight="1" x14ac:dyDescent="0.25">
      <c r="A398" s="7" t="s">
        <v>50</v>
      </c>
      <c r="B398" s="295"/>
      <c r="C398" s="400"/>
      <c r="D398" s="296"/>
      <c r="E398" s="379"/>
      <c r="F398" s="13"/>
      <c r="G398" s="379"/>
      <c r="H398" s="297"/>
      <c r="I398" s="302"/>
      <c r="J398" s="379"/>
      <c r="K398" s="299"/>
      <c r="L398" s="379"/>
      <c r="M398" s="302"/>
      <c r="N398" s="379"/>
      <c r="O398" s="302"/>
      <c r="P398" s="379"/>
      <c r="Q398" s="302"/>
      <c r="R398" s="379"/>
      <c r="S398" s="302"/>
      <c r="T398" s="379"/>
      <c r="U398" s="599" t="s">
        <v>82</v>
      </c>
      <c r="V398" s="599"/>
      <c r="W398" s="599"/>
      <c r="X398" s="599"/>
      <c r="Y398" s="599"/>
      <c r="Z398" s="599"/>
      <c r="AA398" s="599"/>
    </row>
    <row r="399" spans="1:29" ht="14.2" customHeight="1" x14ac:dyDescent="0.25">
      <c r="A399" s="303" t="s">
        <v>422</v>
      </c>
      <c r="B399" s="304">
        <v>10</v>
      </c>
      <c r="C399" s="401" t="s">
        <v>579</v>
      </c>
      <c r="G399" s="379"/>
      <c r="H399" s="297"/>
      <c r="I399" s="302"/>
      <c r="J399" s="379"/>
      <c r="K399" s="299"/>
      <c r="L399" s="379"/>
      <c r="M399" s="302"/>
      <c r="N399" s="379"/>
      <c r="O399" s="302"/>
      <c r="P399" s="379"/>
      <c r="Q399" s="302"/>
      <c r="R399" s="379"/>
      <c r="S399" s="302"/>
      <c r="T399" s="379"/>
      <c r="U399" s="599"/>
      <c r="V399" s="599"/>
      <c r="W399" s="599"/>
      <c r="X399" s="599"/>
      <c r="Y399" s="599"/>
      <c r="Z399" s="599"/>
      <c r="AA399" s="599"/>
    </row>
    <row r="400" spans="1:29" ht="14.2" customHeight="1" x14ac:dyDescent="0.25">
      <c r="A400" s="303"/>
      <c r="B400" s="304">
        <v>11</v>
      </c>
      <c r="C400" s="401" t="s">
        <v>580</v>
      </c>
      <c r="H400" s="297"/>
      <c r="I400" s="297"/>
      <c r="K400" s="299"/>
      <c r="M400" s="297"/>
      <c r="O400" s="297"/>
      <c r="Q400" s="297"/>
      <c r="S400" s="297"/>
      <c r="U400" s="599"/>
      <c r="V400" s="599"/>
      <c r="W400" s="599"/>
      <c r="X400" s="599"/>
      <c r="Y400" s="599"/>
      <c r="Z400" s="599"/>
      <c r="AA400" s="599"/>
    </row>
    <row r="401" spans="1:27" ht="14.2" customHeight="1" x14ac:dyDescent="0.25">
      <c r="A401" s="303"/>
      <c r="B401" s="304"/>
      <c r="C401" s="401"/>
      <c r="H401" s="305"/>
      <c r="I401" s="306"/>
      <c r="K401" s="307"/>
      <c r="M401" s="306"/>
      <c r="O401" s="306"/>
      <c r="Q401" s="306"/>
      <c r="S401" s="306"/>
      <c r="U401" s="599"/>
      <c r="V401" s="599"/>
      <c r="W401" s="599"/>
      <c r="X401" s="599"/>
      <c r="Y401" s="599"/>
      <c r="Z401" s="599"/>
      <c r="AA401" s="599"/>
    </row>
    <row r="402" spans="1:27" ht="14.2" customHeight="1" x14ac:dyDescent="0.25">
      <c r="A402" s="303" t="s">
        <v>423</v>
      </c>
      <c r="B402" s="304">
        <v>20</v>
      </c>
      <c r="C402" s="401" t="s">
        <v>560</v>
      </c>
      <c r="H402" s="305"/>
      <c r="I402" s="306"/>
      <c r="K402" s="307"/>
      <c r="M402" s="306"/>
      <c r="O402" s="306"/>
      <c r="Q402" s="306"/>
      <c r="S402" s="306"/>
      <c r="U402" s="599"/>
      <c r="V402" s="599"/>
      <c r="W402" s="599"/>
      <c r="X402" s="599"/>
      <c r="Y402" s="599"/>
      <c r="Z402" s="599"/>
      <c r="AA402" s="599"/>
    </row>
    <row r="403" spans="1:27" ht="15" customHeight="1" x14ac:dyDescent="0.25">
      <c r="A403" s="303"/>
      <c r="B403" s="304">
        <v>21</v>
      </c>
      <c r="C403" s="401" t="s">
        <v>561</v>
      </c>
      <c r="G403" s="379"/>
      <c r="H403" s="305"/>
      <c r="I403" s="306"/>
      <c r="J403" s="379"/>
      <c r="K403" s="307"/>
      <c r="L403" s="379"/>
      <c r="M403" s="306"/>
      <c r="N403" s="379"/>
      <c r="O403" s="306"/>
      <c r="P403" s="379"/>
      <c r="Q403" s="306"/>
      <c r="R403" s="379"/>
      <c r="S403" s="306"/>
      <c r="T403" s="379"/>
      <c r="U403" s="599"/>
      <c r="V403" s="599"/>
      <c r="W403" s="599"/>
      <c r="X403" s="599"/>
      <c r="Y403" s="599"/>
      <c r="Z403" s="599"/>
      <c r="AA403" s="599"/>
    </row>
    <row r="404" spans="1:27" ht="12" customHeight="1" x14ac:dyDescent="0.25">
      <c r="A404" s="303"/>
      <c r="B404" s="304">
        <v>22</v>
      </c>
      <c r="C404" s="401" t="s">
        <v>562</v>
      </c>
      <c r="G404" s="379"/>
      <c r="J404" s="379"/>
      <c r="L404" s="379"/>
      <c r="N404" s="379"/>
      <c r="P404" s="379"/>
      <c r="R404" s="379"/>
      <c r="T404" s="379"/>
      <c r="U404" s="599"/>
      <c r="V404" s="599"/>
      <c r="W404" s="599"/>
      <c r="X404" s="599"/>
      <c r="Y404" s="599"/>
      <c r="Z404" s="599"/>
      <c r="AA404" s="599"/>
    </row>
    <row r="405" spans="1:27" ht="12" customHeight="1" x14ac:dyDescent="0.25">
      <c r="A405" s="303"/>
      <c r="B405" s="304"/>
      <c r="C405" s="401"/>
      <c r="U405" s="599"/>
      <c r="V405" s="599"/>
      <c r="W405" s="599"/>
      <c r="X405" s="599"/>
      <c r="Y405" s="599"/>
      <c r="Z405" s="599"/>
      <c r="AA405" s="599"/>
    </row>
    <row r="406" spans="1:27" ht="12" customHeight="1" x14ac:dyDescent="0.25">
      <c r="A406" s="303" t="s">
        <v>421</v>
      </c>
      <c r="B406" s="304">
        <v>30</v>
      </c>
      <c r="C406" s="401" t="s">
        <v>559</v>
      </c>
      <c r="E406" s="411"/>
      <c r="F406" s="308"/>
      <c r="U406" s="599"/>
      <c r="V406" s="599"/>
      <c r="W406" s="599"/>
      <c r="X406" s="599"/>
      <c r="Y406" s="599"/>
      <c r="Z406" s="599"/>
      <c r="AA406" s="599"/>
    </row>
    <row r="407" spans="1:27" ht="12" customHeight="1" x14ac:dyDescent="0.25">
      <c r="A407" s="309"/>
      <c r="B407" s="304">
        <v>31</v>
      </c>
      <c r="C407" s="401" t="s">
        <v>558</v>
      </c>
      <c r="E407" s="411"/>
      <c r="F407" s="308"/>
      <c r="U407" s="300"/>
      <c r="V407" s="441"/>
      <c r="W407" s="301"/>
      <c r="X407" s="301"/>
      <c r="Y407" s="301"/>
      <c r="Z407" s="301"/>
    </row>
    <row r="408" spans="1:27" x14ac:dyDescent="0.25">
      <c r="A408" s="309"/>
      <c r="B408" s="304"/>
      <c r="C408" s="401"/>
      <c r="E408" s="411"/>
      <c r="F408" s="308"/>
      <c r="U408" s="300"/>
      <c r="V408" s="441"/>
      <c r="W408" s="301"/>
      <c r="X408" s="301"/>
      <c r="Y408" s="301"/>
      <c r="Z408" s="301"/>
    </row>
    <row r="409" spans="1:27" x14ac:dyDescent="0.25">
      <c r="A409" s="303" t="s">
        <v>424</v>
      </c>
      <c r="B409" s="304">
        <v>40</v>
      </c>
      <c r="C409" s="402" t="s">
        <v>500</v>
      </c>
      <c r="E409" s="411"/>
      <c r="F409" s="308"/>
    </row>
    <row r="410" spans="1:27" x14ac:dyDescent="0.25">
      <c r="A410" s="309"/>
      <c r="B410" s="304"/>
      <c r="C410" s="401"/>
      <c r="E410" s="411"/>
      <c r="F410" s="308"/>
    </row>
    <row r="411" spans="1:27" x14ac:dyDescent="0.25">
      <c r="A411" s="303" t="s">
        <v>425</v>
      </c>
      <c r="B411" s="304">
        <v>50</v>
      </c>
      <c r="C411" s="401" t="s">
        <v>492</v>
      </c>
      <c r="E411" s="411"/>
      <c r="F411" s="308"/>
    </row>
    <row r="412" spans="1:27" ht="12" customHeight="1" x14ac:dyDescent="0.25">
      <c r="A412" s="309"/>
      <c r="B412" s="304">
        <v>51</v>
      </c>
      <c r="C412" s="401" t="s">
        <v>532</v>
      </c>
      <c r="E412" s="411"/>
      <c r="F412" s="308"/>
      <c r="G412" s="380"/>
      <c r="H412" s="2"/>
      <c r="I412" s="2"/>
      <c r="J412" s="380"/>
      <c r="K412" s="310"/>
      <c r="L412" s="380"/>
      <c r="M412" s="2"/>
      <c r="N412" s="380"/>
      <c r="O412" s="2"/>
      <c r="P412" s="380"/>
      <c r="Q412" s="2"/>
      <c r="R412" s="380"/>
      <c r="S412" s="2"/>
      <c r="T412" s="380"/>
      <c r="U412" s="2"/>
      <c r="V412" s="380"/>
      <c r="W412" s="97"/>
      <c r="X412" s="97"/>
      <c r="Y412" s="97"/>
      <c r="Z412" s="97"/>
      <c r="AA412" s="2"/>
    </row>
    <row r="413" spans="1:27" ht="12" customHeight="1" x14ac:dyDescent="0.25">
      <c r="A413" s="309"/>
      <c r="B413" s="304">
        <v>52</v>
      </c>
      <c r="C413" s="401" t="s">
        <v>550</v>
      </c>
      <c r="E413" s="411"/>
      <c r="F413" s="308"/>
      <c r="G413" s="380"/>
      <c r="H413" s="2"/>
      <c r="I413" s="2"/>
      <c r="J413" s="380"/>
      <c r="K413" s="310"/>
      <c r="L413" s="380"/>
      <c r="M413" s="2"/>
      <c r="N413" s="380"/>
      <c r="O413" s="2"/>
      <c r="P413" s="380"/>
      <c r="Q413" s="2"/>
      <c r="R413" s="380"/>
      <c r="S413" s="2"/>
      <c r="T413" s="380"/>
      <c r="U413" s="2"/>
      <c r="V413" s="380"/>
      <c r="W413" s="97"/>
      <c r="X413" s="97"/>
      <c r="Y413" s="97"/>
      <c r="Z413" s="97"/>
      <c r="AA413" s="2"/>
    </row>
    <row r="414" spans="1:27" x14ac:dyDescent="0.25">
      <c r="A414" s="309"/>
      <c r="B414" s="304">
        <v>53</v>
      </c>
      <c r="C414" s="401" t="s">
        <v>551</v>
      </c>
      <c r="E414" s="411"/>
      <c r="F414" s="308"/>
    </row>
    <row r="415" spans="1:27" x14ac:dyDescent="0.25">
      <c r="A415" s="309"/>
      <c r="B415" s="304">
        <v>54</v>
      </c>
      <c r="C415" s="401" t="s">
        <v>552</v>
      </c>
      <c r="E415" s="411"/>
      <c r="F415" s="308"/>
    </row>
    <row r="416" spans="1:27" x14ac:dyDescent="0.25">
      <c r="A416" s="309"/>
      <c r="B416" s="304">
        <v>55</v>
      </c>
      <c r="C416" s="401" t="s">
        <v>553</v>
      </c>
      <c r="E416" s="411"/>
      <c r="F416" s="308"/>
    </row>
    <row r="417" spans="1:8" x14ac:dyDescent="0.25">
      <c r="A417" s="309"/>
      <c r="B417" s="304"/>
      <c r="C417" s="401"/>
      <c r="E417" s="411"/>
      <c r="F417" s="308"/>
    </row>
    <row r="418" spans="1:8" x14ac:dyDescent="0.25">
      <c r="A418" s="303" t="s">
        <v>426</v>
      </c>
      <c r="B418" s="304">
        <v>60</v>
      </c>
      <c r="C418" s="401" t="s">
        <v>554</v>
      </c>
      <c r="E418" s="411"/>
      <c r="F418" s="308"/>
    </row>
    <row r="419" spans="1:8" x14ac:dyDescent="0.25">
      <c r="A419" s="303"/>
      <c r="B419" s="304">
        <v>61</v>
      </c>
      <c r="C419" s="401" t="s">
        <v>428</v>
      </c>
      <c r="E419" s="411"/>
      <c r="F419" s="308"/>
    </row>
    <row r="420" spans="1:8" x14ac:dyDescent="0.25">
      <c r="A420" s="303"/>
      <c r="B420" s="304">
        <v>62</v>
      </c>
      <c r="C420" s="401" t="s">
        <v>555</v>
      </c>
      <c r="E420" s="411"/>
      <c r="F420" s="308"/>
    </row>
    <row r="421" spans="1:8" x14ac:dyDescent="0.25">
      <c r="A421" s="303"/>
      <c r="B421" s="304">
        <v>63</v>
      </c>
      <c r="C421" s="401" t="s">
        <v>556</v>
      </c>
      <c r="E421" s="411"/>
      <c r="F421" s="308"/>
    </row>
    <row r="422" spans="1:8" x14ac:dyDescent="0.25">
      <c r="A422" s="303"/>
      <c r="B422" s="304">
        <v>64</v>
      </c>
      <c r="C422" s="401"/>
      <c r="E422" s="411"/>
      <c r="F422" s="308"/>
    </row>
    <row r="423" spans="1:8" x14ac:dyDescent="0.25">
      <c r="A423" s="13"/>
      <c r="B423" s="304"/>
      <c r="C423" s="401"/>
      <c r="E423" s="411"/>
      <c r="F423" s="308"/>
    </row>
    <row r="424" spans="1:8" x14ac:dyDescent="0.25">
      <c r="A424" s="303" t="s">
        <v>429</v>
      </c>
      <c r="B424" s="304">
        <v>71</v>
      </c>
      <c r="C424" s="401" t="s">
        <v>429</v>
      </c>
      <c r="E424" s="411"/>
      <c r="F424" s="308"/>
    </row>
    <row r="425" spans="1:8" x14ac:dyDescent="0.25">
      <c r="A425" s="303"/>
      <c r="B425" s="304">
        <v>72</v>
      </c>
      <c r="C425" s="401" t="s">
        <v>557</v>
      </c>
      <c r="E425" s="411"/>
      <c r="F425" s="308"/>
    </row>
    <row r="426" spans="1:8" x14ac:dyDescent="0.25">
      <c r="A426" s="303"/>
      <c r="B426" s="304"/>
      <c r="C426" s="401"/>
      <c r="E426" s="411"/>
      <c r="F426" s="308"/>
      <c r="G426" s="397"/>
      <c r="H426" s="304"/>
    </row>
    <row r="427" spans="1:8" x14ac:dyDescent="0.25">
      <c r="A427" s="303" t="s">
        <v>431</v>
      </c>
      <c r="B427" s="304">
        <v>80</v>
      </c>
      <c r="C427" s="95"/>
      <c r="E427" s="411"/>
      <c r="F427" s="308"/>
      <c r="G427" s="397"/>
      <c r="H427" s="304"/>
    </row>
    <row r="428" spans="1:8" x14ac:dyDescent="0.25">
      <c r="A428" s="303"/>
      <c r="B428" s="304"/>
      <c r="C428" s="401"/>
      <c r="E428" s="411"/>
      <c r="F428" s="308"/>
      <c r="G428" s="397"/>
      <c r="H428" s="304"/>
    </row>
    <row r="429" spans="1:8" x14ac:dyDescent="0.25">
      <c r="A429" s="303" t="s">
        <v>430</v>
      </c>
      <c r="B429" s="304">
        <v>90</v>
      </c>
      <c r="C429" s="401" t="s">
        <v>415</v>
      </c>
      <c r="E429" s="411"/>
      <c r="F429" s="308"/>
      <c r="G429" s="397"/>
      <c r="H429" s="304"/>
    </row>
    <row r="430" spans="1:8" x14ac:dyDescent="0.25">
      <c r="A430" s="309"/>
      <c r="B430" s="304">
        <v>99</v>
      </c>
      <c r="C430" s="401" t="s">
        <v>427</v>
      </c>
      <c r="E430" s="411"/>
      <c r="F430" s="308"/>
      <c r="G430" s="397"/>
      <c r="H430" s="304"/>
    </row>
    <row r="431" spans="1:8" x14ac:dyDescent="0.25">
      <c r="C431" s="403"/>
      <c r="E431" s="411"/>
      <c r="F431" s="308"/>
      <c r="G431" s="397"/>
      <c r="H431" s="304"/>
    </row>
    <row r="432" spans="1:8" x14ac:dyDescent="0.25">
      <c r="E432" s="411"/>
      <c r="F432" s="308"/>
      <c r="G432" s="397"/>
      <c r="H432" s="304"/>
    </row>
    <row r="433" spans="1:8" x14ac:dyDescent="0.25">
      <c r="E433" s="411"/>
      <c r="F433" s="308"/>
      <c r="G433" s="397"/>
      <c r="H433" s="304"/>
    </row>
    <row r="434" spans="1:8" x14ac:dyDescent="0.25">
      <c r="A434" s="309"/>
      <c r="B434" s="304"/>
      <c r="C434" s="404"/>
      <c r="E434" s="411"/>
      <c r="F434" s="308"/>
      <c r="G434" s="397"/>
      <c r="H434" s="304"/>
    </row>
    <row r="435" spans="1:8" x14ac:dyDescent="0.25">
      <c r="G435" s="397"/>
      <c r="H435" s="304"/>
    </row>
    <row r="436" spans="1:8" x14ac:dyDescent="0.25">
      <c r="G436" s="397"/>
      <c r="H436" s="304"/>
    </row>
    <row r="437" spans="1:8" x14ac:dyDescent="0.25">
      <c r="G437" s="397"/>
      <c r="H437" s="304"/>
    </row>
    <row r="438" spans="1:8" x14ac:dyDescent="0.25">
      <c r="G438" s="397"/>
      <c r="H438" s="304"/>
    </row>
    <row r="439" spans="1:8" x14ac:dyDescent="0.25">
      <c r="G439" s="397"/>
      <c r="H439" s="304"/>
    </row>
    <row r="440" spans="1:8" x14ac:dyDescent="0.25">
      <c r="G440" s="397"/>
      <c r="H440" s="304"/>
    </row>
    <row r="441" spans="1:8" x14ac:dyDescent="0.25">
      <c r="G441" s="397"/>
      <c r="H441" s="304"/>
    </row>
    <row r="442" spans="1:8" x14ac:dyDescent="0.25">
      <c r="G442" s="397"/>
      <c r="H442" s="304"/>
    </row>
    <row r="443" spans="1:8" x14ac:dyDescent="0.25">
      <c r="G443" s="397"/>
      <c r="H443" s="304"/>
    </row>
    <row r="444" spans="1:8" x14ac:dyDescent="0.25">
      <c r="G444" s="397"/>
      <c r="H444" s="304"/>
    </row>
    <row r="445" spans="1:8" x14ac:dyDescent="0.25">
      <c r="G445" s="397"/>
      <c r="H445" s="304"/>
    </row>
    <row r="446" spans="1:8" x14ac:dyDescent="0.25">
      <c r="G446" s="397"/>
      <c r="H446" s="304"/>
    </row>
    <row r="447" spans="1:8" x14ac:dyDescent="0.25">
      <c r="G447" s="397"/>
      <c r="H447" s="304"/>
    </row>
    <row r="448" spans="1:8" x14ac:dyDescent="0.25">
      <c r="G448" s="397"/>
      <c r="H448" s="304"/>
    </row>
    <row r="449" spans="1:8" x14ac:dyDescent="0.25">
      <c r="G449" s="397"/>
      <c r="H449" s="304"/>
    </row>
    <row r="450" spans="1:8" x14ac:dyDescent="0.25">
      <c r="G450" s="397"/>
      <c r="H450" s="304"/>
    </row>
    <row r="451" spans="1:8" x14ac:dyDescent="0.25">
      <c r="G451" s="397"/>
      <c r="H451" s="304"/>
    </row>
    <row r="452" spans="1:8" x14ac:dyDescent="0.25">
      <c r="G452" s="397"/>
      <c r="H452" s="304"/>
    </row>
    <row r="453" spans="1:8" x14ac:dyDescent="0.25">
      <c r="G453" s="397"/>
      <c r="H453" s="304"/>
    </row>
    <row r="454" spans="1:8" x14ac:dyDescent="0.25">
      <c r="G454" s="397"/>
      <c r="H454" s="304"/>
    </row>
    <row r="455" spans="1:8" x14ac:dyDescent="0.25">
      <c r="G455" s="397"/>
      <c r="H455" s="304"/>
    </row>
    <row r="456" spans="1:8" x14ac:dyDescent="0.25">
      <c r="A456" s="309"/>
      <c r="B456" s="304"/>
    </row>
    <row r="457" spans="1:8" x14ac:dyDescent="0.25">
      <c r="A457" s="309"/>
      <c r="B457" s="304"/>
    </row>
    <row r="458" spans="1:8" x14ac:dyDescent="0.25">
      <c r="A458" s="309"/>
      <c r="B458" s="304"/>
    </row>
    <row r="459" spans="1:8" x14ac:dyDescent="0.25">
      <c r="B459" s="304"/>
    </row>
  </sheetData>
  <sheetProtection sheet="1" objects="1" scenarios="1"/>
  <mergeCells count="13">
    <mergeCell ref="AB3:AC3"/>
    <mergeCell ref="U398:AA406"/>
    <mergeCell ref="B3:C3"/>
    <mergeCell ref="F3:G3"/>
    <mergeCell ref="I3:J3"/>
    <mergeCell ref="S3:T3"/>
    <mergeCell ref="U3:V3"/>
    <mergeCell ref="Q3:R3"/>
    <mergeCell ref="D3:E3"/>
    <mergeCell ref="M3:N3"/>
    <mergeCell ref="O3:P3"/>
    <mergeCell ref="K3:L3"/>
    <mergeCell ref="AA3:AA4"/>
  </mergeCells>
  <phoneticPr fontId="1"/>
  <hyperlinks>
    <hyperlink ref="A1" location="目次!A1" display="目次" xr:uid="{3B963FF7-03E5-4904-8175-162E2CB41F13}"/>
  </hyperlinks>
  <pageMargins left="0.25" right="0.25" top="0.75" bottom="0.75" header="0.3" footer="0.3"/>
  <pageSetup paperSize="9" scale="34" fitToHeight="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⑫防露計算</vt:lpstr>
      <vt:lpstr>素材データ</vt:lpstr>
      <vt:lpstr>⑫防露計算!Print_Area</vt:lpstr>
    </vt:vector>
  </TitlesOfParts>
  <Manager>TSUJI Mitsutaka</Manager>
  <Company>asakinu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環境デザインサポートツール</dc:title>
  <dc:creator>TSUJI Mitsutaka</dc:creator>
  <cp:lastModifiedBy>辻充孝</cp:lastModifiedBy>
  <cp:lastPrinted>2025-10-23T00:49:52Z</cp:lastPrinted>
  <dcterms:created xsi:type="dcterms:W3CDTF">2007-01-10T02:08:00Z</dcterms:created>
  <dcterms:modified xsi:type="dcterms:W3CDTF">2025-11-25T06:27:50Z</dcterms:modified>
</cp:coreProperties>
</file>